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Приказ по тарифам" sheetId="1" r:id="rId1"/>
    <sheet name="содержание" sheetId="2" r:id="rId2"/>
    <sheet name="наём-ком.услуги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<sst xmlns="http://schemas.openxmlformats.org/spreadsheetml/2006/main" count="273" uniqueCount="188">
  <si>
    <t>ООО"СТЭК"</t>
  </si>
  <si>
    <t>ПРИКАЗ №1 от 12 января 2011г.</t>
  </si>
  <si>
    <t>Об установлении платы за жильё и коммунальные услуги в домах на территории обслуживания управляющей компании ООО"СТЭК" на 2011 год.</t>
  </si>
  <si>
    <r>
      <t xml:space="preserve">1.Распоряжением Министерства экономики Московской обл. </t>
    </r>
    <r>
      <rPr>
        <b/>
        <sz val="10"/>
        <rFont val="Times New Roman"/>
        <family val="1"/>
      </rPr>
      <t>№83-РМ от 31.11.2010г.</t>
    </r>
  </si>
  <si>
    <t xml:space="preserve">утверждены тарифы на услуги организаций коммунального комплекса, обеспечивающих </t>
  </si>
  <si>
    <t>водоснабжение и водоотведение на территории Московской области, на 2011 год:</t>
  </si>
  <si>
    <r>
      <t xml:space="preserve">2.Распоряжением Топливно-энергетического комитета  Московской обл. </t>
    </r>
    <r>
      <rPr>
        <b/>
        <sz val="10"/>
        <rFont val="Times New Roman"/>
        <family val="1"/>
      </rPr>
      <t>№49-Р от 24.11.2010г.,</t>
    </r>
  </si>
  <si>
    <r>
      <t xml:space="preserve">№50-Р от 01.12.2010г.,  №51-Р от 08.12.2010г., №55-Р от 22.12.2010г. </t>
    </r>
    <r>
      <rPr>
        <sz val="10"/>
        <rFont val="Times New Roman"/>
        <family val="1"/>
      </rPr>
      <t xml:space="preserve">установлены тарифы </t>
    </r>
  </si>
  <si>
    <t>на тепловую энергию для предприятий городского поселения Сергиев Посад на 2011 год.</t>
  </si>
  <si>
    <r>
      <t xml:space="preserve">3.Распоряжением Министерства экономики Московской обл. </t>
    </r>
    <r>
      <rPr>
        <b/>
        <sz val="10"/>
        <rFont val="Times New Roman"/>
        <family val="1"/>
      </rPr>
      <t xml:space="preserve">№106-РМ от 30.12.2010г. </t>
    </r>
    <r>
      <rPr>
        <sz val="10"/>
        <rFont val="Times New Roman"/>
        <family val="1"/>
      </rPr>
      <t>установлены</t>
    </r>
  </si>
  <si>
    <t>тарифы на горячее водоснабжение в городском поселении Сергиев Посад.</t>
  </si>
  <si>
    <r>
      <t xml:space="preserve">4.Распоряжением Топливно-энергетического комитета  Московской обл. </t>
    </r>
    <r>
      <rPr>
        <b/>
        <sz val="10"/>
        <rFont val="Times New Roman"/>
        <family val="1"/>
      </rPr>
      <t>№53-Р от 17.12.2010г.,</t>
    </r>
  </si>
  <si>
    <t>установлены тарифы на электроэнергию для населения Московской области на 2011 год.</t>
  </si>
  <si>
    <r>
      <t xml:space="preserve">5.Постановлением Правительства Московской обл. </t>
    </r>
    <r>
      <rPr>
        <b/>
        <sz val="10"/>
        <rFont val="Times New Roman"/>
        <family val="1"/>
      </rPr>
      <t xml:space="preserve">№1132/59 от 17.12.2010 г. </t>
    </r>
    <r>
      <rPr>
        <sz val="10"/>
        <rFont val="Times New Roman"/>
        <family val="1"/>
      </rPr>
      <t>установлен тариф</t>
    </r>
  </si>
  <si>
    <t>за пользование природным газом , реализуемым в Московской обл. на 2011 год.</t>
  </si>
  <si>
    <t>ПРИКАЗЫВАЮ:</t>
  </si>
  <si>
    <t xml:space="preserve">В соотвествии с перечисленными документами и п.1 ст.156 ЖК РФ, согласно которому "плата за </t>
  </si>
  <si>
    <t xml:space="preserve">содержание и ремонт жилого помещения устанавливается в размере, обеспечивающем содержание и </t>
  </si>
  <si>
    <t xml:space="preserve">ремонт общего имущества в многоквартирном доме", с 01 января 2011 года установить плату за </t>
  </si>
  <si>
    <t>жилищные и коммунальные услуги для населения в многоквартирных домах по следующим тарифам:</t>
  </si>
  <si>
    <t>РАСЦЕНКИ  НА ЖИЛИЩНЫЕ И КОММУНАЛЬНЫЕ УСЛУГИ С 01 ЯНВАРЯ 2011 ГОДА.</t>
  </si>
  <si>
    <t>ед. расчета в месяц</t>
  </si>
  <si>
    <t>ул.Стахановская, 1 А</t>
  </si>
  <si>
    <t>ул.Бероунская, 20, 22</t>
  </si>
  <si>
    <t>ул.Валовая, 50</t>
  </si>
  <si>
    <t>ул.Валовая, 29</t>
  </si>
  <si>
    <t>ул.Энгельса, 3</t>
  </si>
  <si>
    <t>Наём (неприватиз.жильё)</t>
  </si>
  <si>
    <r>
      <t>руб./м</t>
    </r>
    <r>
      <rPr>
        <sz val="10"/>
        <rFont val="Arial"/>
        <family val="2"/>
      </rPr>
      <t>²</t>
    </r>
  </si>
  <si>
    <t xml:space="preserve"> 1-19</t>
  </si>
  <si>
    <t xml:space="preserve"> 2-10</t>
  </si>
  <si>
    <t xml:space="preserve"> 1-91</t>
  </si>
  <si>
    <t xml:space="preserve"> 2-78</t>
  </si>
  <si>
    <t>Содержание и тек.ремонт</t>
  </si>
  <si>
    <t xml:space="preserve"> 22-57</t>
  </si>
  <si>
    <t>25-62</t>
  </si>
  <si>
    <t>31-09                   37-73</t>
  </si>
  <si>
    <t>Отопление</t>
  </si>
  <si>
    <t xml:space="preserve"> 25-30</t>
  </si>
  <si>
    <t xml:space="preserve"> 24-54</t>
  </si>
  <si>
    <t>Холодная вода</t>
  </si>
  <si>
    <t>руб./чел.</t>
  </si>
  <si>
    <t xml:space="preserve"> 13-83</t>
  </si>
  <si>
    <t xml:space="preserve"> 55-32</t>
  </si>
  <si>
    <t>Горячая вода</t>
  </si>
  <si>
    <t xml:space="preserve"> 198-92</t>
  </si>
  <si>
    <t xml:space="preserve"> 355-00</t>
  </si>
  <si>
    <t xml:space="preserve"> 345-62</t>
  </si>
  <si>
    <t>Канализация</t>
  </si>
  <si>
    <t xml:space="preserve"> 36-06</t>
  </si>
  <si>
    <t xml:space="preserve"> 93-41</t>
  </si>
  <si>
    <t>Электроэнегия</t>
  </si>
  <si>
    <t>руб./кВт.</t>
  </si>
  <si>
    <t xml:space="preserve"> 3-38</t>
  </si>
  <si>
    <t xml:space="preserve"> 2-37</t>
  </si>
  <si>
    <t>Газ</t>
  </si>
  <si>
    <t xml:space="preserve"> 33-00</t>
  </si>
  <si>
    <t>-</t>
  </si>
  <si>
    <t>Генеральный директор ООО"СТЭК"</t>
  </si>
  <si>
    <t>В.Н.Лобков</t>
  </si>
  <si>
    <t>Приказ подготовил:</t>
  </si>
  <si>
    <t xml:space="preserve">Бухгалтер ООО"СТЭК" </t>
  </si>
  <si>
    <t>Е.В.Кудрявцева</t>
  </si>
  <si>
    <t>Согласовано:</t>
  </si>
  <si>
    <t>Гл.бухгалтер ООО"СТЭК"</t>
  </si>
  <si>
    <t>С.А.Пучкова</t>
  </si>
  <si>
    <t>Зам.ген.директора ОАО"ЗОМЗ" по имущественному комплексу</t>
  </si>
  <si>
    <t>Н.Н.Смирнов</t>
  </si>
  <si>
    <t>"Утверждаю"</t>
  </si>
  <si>
    <t>гендиректора ООО"СТЭК"</t>
  </si>
  <si>
    <r>
      <t xml:space="preserve">"Об установлении платы за жилое помещение и коммунальные услуги для населения </t>
    </r>
    <r>
      <rPr>
        <b/>
        <sz val="10"/>
        <rFont val="Arial"/>
        <family val="2"/>
      </rPr>
      <t>с 1 января 2011г.</t>
    </r>
    <r>
      <rPr>
        <sz val="10"/>
        <rFont val="Arial"/>
        <family val="0"/>
      </rPr>
      <t>"</t>
    </r>
  </si>
  <si>
    <r>
      <t>1.</t>
    </r>
    <r>
      <rPr>
        <b/>
        <u val="single"/>
        <sz val="10"/>
        <rFont val="Arial"/>
        <family val="2"/>
      </rPr>
      <t>ПЛАТА ЗА НАЁМ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неприватизированных квартир</t>
    </r>
  </si>
  <si>
    <t xml:space="preserve"> - руб/ кв.м общей площади,  НДС не облагается</t>
  </si>
  <si>
    <t>ул.Стахановская, 1А</t>
  </si>
  <si>
    <t>ул.Валовая, 29, 50</t>
  </si>
  <si>
    <r>
      <t xml:space="preserve">2. </t>
    </r>
    <r>
      <rPr>
        <b/>
        <u val="single"/>
        <sz val="10"/>
        <rFont val="Arial"/>
        <family val="2"/>
      </rPr>
      <t>ПЛАТА ЗА ХОЛОДНОЕ ВОДОСНАБЖЕНИЕ И ВОДООТВЕДЕНИЕ</t>
    </r>
  </si>
  <si>
    <t xml:space="preserve">Холодное водоснабжение ЗАО"СТЭК" </t>
  </si>
  <si>
    <r>
      <t>руб/м</t>
    </r>
    <r>
      <rPr>
        <sz val="10"/>
        <rFont val="Arial"/>
        <family val="2"/>
      </rPr>
      <t>³</t>
    </r>
    <r>
      <rPr>
        <sz val="10"/>
        <rFont val="Times New Roman"/>
        <family val="1"/>
      </rPr>
      <t xml:space="preserve"> с НДС</t>
    </r>
  </si>
  <si>
    <t>Водоотведение МУП"Водоканал"</t>
  </si>
  <si>
    <t xml:space="preserve"> - руб./чел., с учетом НДС</t>
  </si>
  <si>
    <t>Водоотведение</t>
  </si>
  <si>
    <t>Общежития с общими душевыми:</t>
  </si>
  <si>
    <t>1,0654 м³/чел.</t>
  </si>
  <si>
    <t>2,93025 м³/чел.</t>
  </si>
  <si>
    <t>Жилые дома с централизованным горячим водоснабжением, с сидячими ваннами:</t>
  </si>
  <si>
    <r>
      <t>4,2616 м</t>
    </r>
    <r>
      <rPr>
        <sz val="10"/>
        <rFont val="Arial"/>
        <family val="2"/>
      </rPr>
      <t>³</t>
    </r>
    <r>
      <rPr>
        <sz val="10"/>
        <rFont val="Arial Cyr"/>
        <family val="0"/>
      </rPr>
      <t>/</t>
    </r>
    <r>
      <rPr>
        <b/>
        <i/>
        <sz val="10"/>
        <rFont val="Arial"/>
        <family val="2"/>
      </rPr>
      <t>чел.</t>
    </r>
  </si>
  <si>
    <r>
      <t>7,58964 м</t>
    </r>
    <r>
      <rPr>
        <sz val="10"/>
        <rFont val="Arial"/>
        <family val="2"/>
      </rPr>
      <t>³</t>
    </r>
    <r>
      <rPr>
        <sz val="10"/>
        <rFont val="Arial Cyr"/>
        <family val="0"/>
      </rPr>
      <t>/</t>
    </r>
    <r>
      <rPr>
        <b/>
        <i/>
        <sz val="10"/>
        <rFont val="Arial"/>
        <family val="2"/>
      </rPr>
      <t>чел.</t>
    </r>
  </si>
  <si>
    <r>
      <t xml:space="preserve">3. </t>
    </r>
    <r>
      <rPr>
        <b/>
        <u val="single"/>
        <sz val="10"/>
        <rFont val="Arial"/>
        <family val="2"/>
      </rPr>
      <t xml:space="preserve">ПЛАТА ЗА ГОРЯЧЕЕ ВОДОСНАБЖЕНИЕ  </t>
    </r>
  </si>
  <si>
    <t>МУП"Теплосеть"/ЗАО"СТЭК"</t>
  </si>
  <si>
    <r>
      <t>руб/м</t>
    </r>
    <r>
      <rPr>
        <sz val="10"/>
        <rFont val="Arial"/>
        <family val="2"/>
      </rPr>
      <t>³</t>
    </r>
    <r>
      <rPr>
        <sz val="10"/>
        <rFont val="Times New Roman"/>
        <family val="1"/>
      </rPr>
      <t xml:space="preserve"> с НДС,</t>
    </r>
  </si>
  <si>
    <t>ЗАО"СТЭК"/ЗАО"СТЭК"</t>
  </si>
  <si>
    <r>
      <t>руб/м</t>
    </r>
    <r>
      <rPr>
        <sz val="10"/>
        <rFont val="Arial"/>
        <family val="2"/>
      </rPr>
      <t>³</t>
    </r>
    <r>
      <rPr>
        <sz val="10"/>
        <rFont val="Times New Roman"/>
        <family val="1"/>
      </rPr>
      <t xml:space="preserve"> с НДС.</t>
    </r>
  </si>
  <si>
    <t>тепло / вода</t>
  </si>
  <si>
    <t>1,86485 м³/чел.</t>
  </si>
  <si>
    <t>Теплосеть/СТЭК</t>
  </si>
  <si>
    <t>3,32804 м³/чел.</t>
  </si>
  <si>
    <t>СТЭК/СТЭК</t>
  </si>
  <si>
    <r>
      <t xml:space="preserve">4. </t>
    </r>
    <r>
      <rPr>
        <b/>
        <u val="single"/>
        <sz val="10"/>
        <rFont val="Arial"/>
        <family val="2"/>
      </rPr>
      <t xml:space="preserve">ПЛАТА ЗА ОТОПЛЕНИЕ  </t>
    </r>
    <r>
      <rPr>
        <sz val="10"/>
        <rFont val="Arial"/>
        <family val="2"/>
      </rPr>
      <t xml:space="preserve"> </t>
    </r>
  </si>
  <si>
    <t>МУП"Теплосеть"</t>
  </si>
  <si>
    <t>руб/Гкал с НДС</t>
  </si>
  <si>
    <t>ЗАО"СТЭК"</t>
  </si>
  <si>
    <t>руб/ кв.м общей площади,  с учетом НДС</t>
  </si>
  <si>
    <r>
      <t xml:space="preserve">5. </t>
    </r>
    <r>
      <rPr>
        <b/>
        <u val="single"/>
        <sz val="10"/>
        <rFont val="Arial"/>
        <family val="2"/>
      </rPr>
      <t xml:space="preserve">ТАРИФ НА ЭЛЕКТРОЭНЕРГИЮ  </t>
    </r>
    <r>
      <rPr>
        <sz val="10"/>
        <rFont val="Arial"/>
        <family val="2"/>
      </rPr>
      <t xml:space="preserve">  - руб/ кВтч,  с учетом НДС</t>
    </r>
  </si>
  <si>
    <t>Городское население в домах с газовыми плитами:</t>
  </si>
  <si>
    <t>Городское население в домах с электроплитами:</t>
  </si>
  <si>
    <r>
      <t xml:space="preserve">6. </t>
    </r>
    <r>
      <rPr>
        <b/>
        <u val="single"/>
        <sz val="10"/>
        <rFont val="Arial"/>
        <family val="2"/>
      </rPr>
      <t xml:space="preserve">ТАРИФ НА ГАЗ   </t>
    </r>
    <r>
      <rPr>
        <sz val="10"/>
        <rFont val="Arial"/>
        <family val="2"/>
      </rPr>
      <t>- руб./чел., с учетом НДС</t>
    </r>
  </si>
  <si>
    <t>Приложение № 2 к приказу № 1 от 12.01.2011г.</t>
  </si>
  <si>
    <t>Приложение № 1  к приказу № 1 от 12.01.2011г.</t>
  </si>
  <si>
    <r>
      <t xml:space="preserve">"Об установлении платы за жилое помещение и коммунальные услуги для населения </t>
    </r>
    <r>
      <rPr>
        <b/>
        <sz val="12"/>
        <rFont val="Arial"/>
        <family val="2"/>
      </rPr>
      <t>с 1 января 2011 года.</t>
    </r>
    <r>
      <rPr>
        <sz val="12"/>
        <rFont val="Arial"/>
        <family val="2"/>
      </rPr>
      <t>"</t>
    </r>
  </si>
  <si>
    <t>Расчёт платы граждан за содержание и ремонт общего имущества жилых домов</t>
  </si>
  <si>
    <t>на территории обслуживания управляющей компании ООО"СТЭК" на 2011 г.</t>
  </si>
  <si>
    <t>(муниципальное образование г.Сергиев Посад)</t>
  </si>
  <si>
    <t>№  п/п</t>
  </si>
  <si>
    <t>Статьи расходов на содержание общего имущества жилых домов УК ООО""СТЭК"</t>
  </si>
  <si>
    <t>Площадь домов, где предоставляются указанные услуги</t>
  </si>
  <si>
    <r>
      <t>Затраты в</t>
    </r>
    <r>
      <rPr>
        <b/>
        <sz val="10"/>
        <rFont val="Arial Cyr"/>
        <family val="0"/>
      </rPr>
      <t xml:space="preserve"> год</t>
    </r>
    <r>
      <rPr>
        <sz val="10"/>
        <rFont val="Arial Cyr"/>
        <family val="2"/>
      </rPr>
      <t xml:space="preserve"> всего</t>
    </r>
  </si>
  <si>
    <r>
      <t>Затраты в</t>
    </r>
    <r>
      <rPr>
        <b/>
        <sz val="10"/>
        <rFont val="Arial Cyr"/>
        <family val="0"/>
      </rPr>
      <t xml:space="preserve"> месяц</t>
    </r>
    <r>
      <rPr>
        <sz val="10"/>
        <rFont val="Arial Cyr"/>
        <family val="2"/>
      </rPr>
      <t xml:space="preserve"> всего</t>
    </r>
  </si>
  <si>
    <t>Затраты в расчете на 1 кв. м в месяц</t>
  </si>
  <si>
    <t xml:space="preserve">Стоимость 1 кв. м      в месяц        </t>
  </si>
  <si>
    <t>Расчет оплаты услуг по адресам</t>
  </si>
  <si>
    <r>
      <t xml:space="preserve">Стахановская, 1 </t>
    </r>
  </si>
  <si>
    <t>Бероунская, 20</t>
  </si>
  <si>
    <t>Бероунская, 22</t>
  </si>
  <si>
    <t>Валовая, 29</t>
  </si>
  <si>
    <t>Валовая, 50</t>
  </si>
  <si>
    <t>Энгельса, 3</t>
  </si>
  <si>
    <t>Энгельса, 3,                  1 этаж</t>
  </si>
  <si>
    <t>кв. м</t>
  </si>
  <si>
    <t>руб.</t>
  </si>
  <si>
    <t>руб./м² в месяц</t>
  </si>
  <si>
    <t>1.</t>
  </si>
  <si>
    <t>Затраты на содержание и ремонт жилого помещения :</t>
  </si>
  <si>
    <t>в том числе:</t>
  </si>
  <si>
    <t>1.1.</t>
  </si>
  <si>
    <t>Содержание придомовой территории</t>
  </si>
  <si>
    <t>из них по статьям затрат:</t>
  </si>
  <si>
    <t>Заработная плата дворников ( 5 чел. )</t>
  </si>
  <si>
    <t>Отчисления от заработной платы (34%)</t>
  </si>
  <si>
    <t>Материалы</t>
  </si>
  <si>
    <t>Накладные раходы</t>
  </si>
  <si>
    <t>1.2.</t>
  </si>
  <si>
    <t>Содержание мест общего пользования</t>
  </si>
  <si>
    <t>Заработная плата уборщиков ( 3чел.)</t>
  </si>
  <si>
    <t>1.3.</t>
  </si>
  <si>
    <t>Дератизация (по договору)</t>
  </si>
  <si>
    <t>1.4.</t>
  </si>
  <si>
    <t>Освещение мест общего пользования</t>
  </si>
  <si>
    <t>1.5.</t>
  </si>
  <si>
    <t>Содержание мусоропроводов</t>
  </si>
  <si>
    <t>Заработная плата уборщика (1 чел.)</t>
  </si>
  <si>
    <t>1.6.</t>
  </si>
  <si>
    <t>Содержание лифтов</t>
  </si>
  <si>
    <t>Заработная плата лифтеров (1,5 ст.)</t>
  </si>
  <si>
    <t>Электроэнергия</t>
  </si>
  <si>
    <t>Услуги стор.орг. (по договору)</t>
  </si>
  <si>
    <t>1.7.</t>
  </si>
  <si>
    <t>Техобслуживание и тек.ремонт инженерного оборудования и конструкт.элементов зданий</t>
  </si>
  <si>
    <t>Заработная плата рабочих ( 6,5 став.)</t>
  </si>
  <si>
    <t>Подрядные работы (по договору)</t>
  </si>
  <si>
    <t>1.8.</t>
  </si>
  <si>
    <t>Техобслуживание инженерного оборудования и конструкт.эл.зданий</t>
  </si>
  <si>
    <t>Заработная плата</t>
  </si>
  <si>
    <t>Отчисления от заработной платы</t>
  </si>
  <si>
    <t>Обслуживание ВДГО (по договору)</t>
  </si>
  <si>
    <t>1.10.</t>
  </si>
  <si>
    <t>Обслуживание электроплит</t>
  </si>
  <si>
    <t>1.11.</t>
  </si>
  <si>
    <t>Противопожарные мероприятия</t>
  </si>
  <si>
    <t>1.12.</t>
  </si>
  <si>
    <t>Очистка вентканалов и дымоходов</t>
  </si>
  <si>
    <t>1.9.</t>
  </si>
  <si>
    <t>Общехозяйственные расходы                   (в т.ч.расчетный центр)</t>
  </si>
  <si>
    <t>1.14.</t>
  </si>
  <si>
    <t>Содержание расчетного центра</t>
  </si>
  <si>
    <t>Содержание управляющей компании (ФОТ с начисл.)</t>
  </si>
  <si>
    <t>1.16.</t>
  </si>
  <si>
    <t>1.17.</t>
  </si>
  <si>
    <t>1.18.</t>
  </si>
  <si>
    <t>Прочие затраты</t>
  </si>
  <si>
    <t>2.</t>
  </si>
  <si>
    <r>
      <t xml:space="preserve">Вывоз ТБО </t>
    </r>
    <r>
      <rPr>
        <sz val="10"/>
        <color indexed="8"/>
        <rFont val="Arial Cyr"/>
        <family val="2"/>
      </rPr>
      <t>(вкл. расх. на захоронение) по договору</t>
    </r>
  </si>
  <si>
    <t xml:space="preserve">         по количеству проживающих (чел.)</t>
  </si>
  <si>
    <t>Итого затрат без НДС</t>
  </si>
  <si>
    <t>НДС (18%)</t>
  </si>
  <si>
    <t>3.</t>
  </si>
  <si>
    <t>Всего к оплате затрат на содержание общего имущества с учетомНДС</t>
  </si>
  <si>
    <t>п/п</t>
  </si>
  <si>
    <t>Приложения №№1,2 утвердить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</si>
</sst>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&quot;р.&quot;;\-#,##0.0000&quot;р.&quot;"/>
    <numFmt numFmtId="166" formatCode="0.000000"/>
    <numFmt numFmtId="167" formatCode="0.0"/>
    <numFmt numFmtId="168" formatCode="0.0%"/>
    <numFmt numFmtId="169" formatCode="#,##0.0000"/>
    <numFmt numFmtId="170" formatCode="#,##0.00&quot;р.&quot;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sz val="11"/>
      <name val="Arial"/>
      <family val="0"/>
    </font>
    <font>
      <b/>
      <sz val="10"/>
      <name val="Arial Cyr"/>
      <family val="0"/>
    </font>
    <font>
      <sz val="13"/>
      <name val="Arial"/>
      <family val="0"/>
    </font>
    <font>
      <i/>
      <sz val="10"/>
      <name val="Arial"/>
      <family val="0"/>
    </font>
    <font>
      <sz val="7"/>
      <name val="Arial Cyr"/>
      <family val="2"/>
    </font>
    <font>
      <i/>
      <sz val="7"/>
      <name val="Arial Cyr"/>
      <family val="2"/>
    </font>
    <font>
      <b/>
      <sz val="11"/>
      <color indexed="8"/>
      <name val="Arial Cyr"/>
      <family val="2"/>
    </font>
    <font>
      <b/>
      <sz val="13"/>
      <color indexed="8"/>
      <name val="Arial Cyr"/>
      <family val="2"/>
    </font>
    <font>
      <b/>
      <i/>
      <sz val="13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i/>
      <sz val="9"/>
      <color indexed="8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i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 Cyr"/>
      <family val="0"/>
    </font>
    <font>
      <b/>
      <i/>
      <sz val="14"/>
      <color indexed="8"/>
      <name val="Arial Cyr"/>
      <family val="2"/>
    </font>
    <font>
      <b/>
      <i/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2"/>
      <color indexed="8"/>
      <name val="Arial Cyr"/>
      <family val="2"/>
    </font>
    <font>
      <b/>
      <i/>
      <sz val="11"/>
      <color indexed="8"/>
      <name val="Arial Cyr"/>
      <family val="0"/>
    </font>
    <font>
      <sz val="9"/>
      <name val="Arial"/>
      <family val="0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4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/>
    </xf>
    <xf numFmtId="164" fontId="4" fillId="0" borderId="0" xfId="0" applyNumberFormat="1" applyFont="1" applyAlignment="1">
      <alignment/>
    </xf>
    <xf numFmtId="0" fontId="0" fillId="0" borderId="2" xfId="0" applyBorder="1" applyAlignment="1">
      <alignment/>
    </xf>
    <xf numFmtId="164" fontId="4" fillId="0" borderId="2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7" fontId="6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7" fontId="6" fillId="0" borderId="2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2" fontId="6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7" fontId="4" fillId="0" borderId="0" xfId="0" applyNumberFormat="1" applyFont="1" applyAlignment="1">
      <alignment horizontal="center"/>
    </xf>
    <xf numFmtId="7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 textRotation="90"/>
    </xf>
    <xf numFmtId="0" fontId="18" fillId="0" borderId="1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2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4" fontId="22" fillId="0" borderId="1" xfId="0" applyNumberFormat="1" applyFont="1" applyFill="1" applyBorder="1" applyAlignment="1">
      <alignment horizontal="center" wrapText="1"/>
    </xf>
    <xf numFmtId="4" fontId="24" fillId="0" borderId="1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wrapText="1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/>
    </xf>
    <xf numFmtId="4" fontId="27" fillId="0" borderId="1" xfId="0" applyNumberFormat="1" applyFont="1" applyFill="1" applyBorder="1" applyAlignment="1">
      <alignment/>
    </xf>
    <xf numFmtId="4" fontId="27" fillId="0" borderId="1" xfId="0" applyNumberFormat="1" applyFont="1" applyFill="1" applyBorder="1" applyAlignment="1">
      <alignment/>
    </xf>
    <xf numFmtId="4" fontId="27" fillId="0" borderId="1" xfId="0" applyNumberFormat="1" applyFont="1" applyFill="1" applyBorder="1" applyAlignment="1">
      <alignment horizontal="center"/>
    </xf>
    <xf numFmtId="4" fontId="27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/>
    </xf>
    <xf numFmtId="0" fontId="29" fillId="0" borderId="1" xfId="0" applyFont="1" applyFill="1" applyBorder="1" applyAlignment="1">
      <alignment wrapText="1"/>
    </xf>
    <xf numFmtId="164" fontId="25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4" fontId="25" fillId="0" borderId="1" xfId="0" applyNumberFormat="1" applyFont="1" applyFill="1" applyBorder="1" applyAlignment="1">
      <alignment horizontal="center" wrapText="1"/>
    </xf>
    <xf numFmtId="4" fontId="31" fillId="0" borderId="1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0" fontId="26" fillId="0" borderId="1" xfId="0" applyFont="1" applyFill="1" applyBorder="1" applyAlignment="1">
      <alignment horizontal="right" wrapText="1"/>
    </xf>
    <xf numFmtId="0" fontId="25" fillId="0" borderId="1" xfId="0" applyFont="1" applyFill="1" applyBorder="1" applyAlignment="1">
      <alignment/>
    </xf>
    <xf numFmtId="4" fontId="31" fillId="0" borderId="1" xfId="0" applyNumberFormat="1" applyFont="1" applyFill="1" applyBorder="1" applyAlignment="1">
      <alignment horizontal="center"/>
    </xf>
    <xf numFmtId="164" fontId="30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/>
    </xf>
    <xf numFmtId="4" fontId="26" fillId="0" borderId="1" xfId="0" applyNumberFormat="1" applyFont="1" applyFill="1" applyBorder="1" applyAlignment="1">
      <alignment/>
    </xf>
    <xf numFmtId="4" fontId="26" fillId="0" borderId="1" xfId="0" applyNumberFormat="1" applyFont="1" applyFill="1" applyBorder="1" applyAlignment="1">
      <alignment horizontal="center"/>
    </xf>
    <xf numFmtId="9" fontId="31" fillId="0" borderId="1" xfId="17" applyFont="1" applyFill="1" applyBorder="1" applyAlignment="1">
      <alignment horizontal="center"/>
    </xf>
    <xf numFmtId="2" fontId="0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0" fontId="29" fillId="0" borderId="1" xfId="0" applyFont="1" applyFill="1" applyBorder="1" applyAlignment="1">
      <alignment/>
    </xf>
    <xf numFmtId="4" fontId="25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164" fontId="27" fillId="0" borderId="1" xfId="0" applyNumberFormat="1" applyFont="1" applyFill="1" applyBorder="1" applyAlignment="1">
      <alignment/>
    </xf>
    <xf numFmtId="4" fontId="27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 wrapText="1"/>
    </xf>
    <xf numFmtId="164" fontId="27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3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/>
    </xf>
    <xf numFmtId="164" fontId="22" fillId="0" borderId="1" xfId="0" applyNumberFormat="1" applyFont="1" applyFill="1" applyBorder="1" applyAlignment="1">
      <alignment/>
    </xf>
    <xf numFmtId="164" fontId="33" fillId="0" borderId="1" xfId="0" applyNumberFormat="1" applyFont="1" applyFill="1" applyBorder="1" applyAlignment="1">
      <alignment/>
    </xf>
    <xf numFmtId="164" fontId="22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right"/>
    </xf>
    <xf numFmtId="4" fontId="32" fillId="0" borderId="1" xfId="0" applyNumberFormat="1" applyFont="1" applyFill="1" applyBorder="1" applyAlignment="1">
      <alignment wrapText="1"/>
    </xf>
    <xf numFmtId="4" fontId="23" fillId="0" borderId="1" xfId="0" applyNumberFormat="1" applyFont="1" applyFill="1" applyBorder="1" applyAlignment="1">
      <alignment wrapText="1"/>
    </xf>
    <xf numFmtId="4" fontId="32" fillId="0" borderId="1" xfId="0" applyNumberFormat="1" applyFont="1" applyFill="1" applyBorder="1" applyAlignment="1">
      <alignment horizontal="center" wrapText="1"/>
    </xf>
    <xf numFmtId="4" fontId="35" fillId="0" borderId="1" xfId="0" applyNumberFormat="1" applyFont="1" applyFill="1" applyBorder="1" applyAlignment="1">
      <alignment horizontal="center" wrapText="1"/>
    </xf>
    <xf numFmtId="4" fontId="24" fillId="0" borderId="1" xfId="0" applyNumberFormat="1" applyFont="1" applyFill="1" applyBorder="1" applyAlignment="1">
      <alignment horizontal="center" wrapText="1"/>
    </xf>
    <xf numFmtId="164" fontId="36" fillId="0" borderId="1" xfId="0" applyNumberFormat="1" applyFont="1" applyFill="1" applyBorder="1" applyAlignment="1">
      <alignment/>
    </xf>
    <xf numFmtId="164" fontId="33" fillId="0" borderId="1" xfId="0" applyNumberFormat="1" applyFont="1" applyFill="1" applyBorder="1" applyAlignment="1">
      <alignment/>
    </xf>
    <xf numFmtId="4" fontId="36" fillId="0" borderId="1" xfId="0" applyNumberFormat="1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/>
    </xf>
    <xf numFmtId="4" fontId="14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164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 horizontal="center"/>
    </xf>
    <xf numFmtId="9" fontId="29" fillId="0" borderId="0" xfId="17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wrapText="1"/>
    </xf>
    <xf numFmtId="4" fontId="27" fillId="0" borderId="0" xfId="0" applyNumberFormat="1" applyFont="1" applyFill="1" applyBorder="1" applyAlignment="1">
      <alignment horizontal="center" wrapText="1"/>
    </xf>
    <xf numFmtId="164" fontId="27" fillId="0" borderId="0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/>
    </xf>
    <xf numFmtId="167" fontId="25" fillId="0" borderId="1" xfId="0" applyNumberFormat="1" applyFont="1" applyFill="1" applyBorder="1" applyAlignment="1">
      <alignment/>
    </xf>
    <xf numFmtId="167" fontId="39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9" fontId="0" fillId="0" borderId="0" xfId="17" applyFill="1" applyAlignment="1">
      <alignment/>
    </xf>
    <xf numFmtId="164" fontId="39" fillId="0" borderId="1" xfId="0" applyNumberFormat="1" applyFont="1" applyFill="1" applyBorder="1" applyAlignment="1">
      <alignment horizontal="left"/>
    </xf>
    <xf numFmtId="4" fontId="41" fillId="0" borderId="0" xfId="0" applyNumberFormat="1" applyFont="1" applyFill="1" applyBorder="1" applyAlignment="1">
      <alignment/>
    </xf>
    <xf numFmtId="164" fontId="42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168" fontId="0" fillId="0" borderId="0" xfId="17" applyNumberFormat="1" applyFont="1" applyFill="1" applyBorder="1" applyAlignment="1">
      <alignment/>
    </xf>
    <xf numFmtId="4" fontId="0" fillId="0" borderId="0" xfId="18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169" fontId="40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2" fontId="25" fillId="0" borderId="4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168" fontId="0" fillId="0" borderId="0" xfId="17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46;&#1050;&#1061;%20&#1057;&#1058;&#1069;&#1050;\&#1055;&#1088;&#1080;&#1082;&#1072;&#1079;%20&#1086;%20&#1087;&#1083;&#1072;&#1090;&#1077;%20&#1079;&#1072;%20&#1078;&#1080;&#1083;&#1100;&#1105;%20&#1089;%20&#1087;&#1088;&#1080;&#1083;&#1086;&#1078;&#1077;&#1085;&#1080;&#1103;&#1084;&#1080;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аз"/>
      <sheetName val="Энг.3 к собр."/>
      <sheetName val="Лист2"/>
      <sheetName val="Энг.3тариф"/>
      <sheetName val="04,03,11"/>
      <sheetName val="20,04,11"/>
      <sheetName val="содерж."/>
      <sheetName val="эл-эн"/>
      <sheetName val="ком.услуги"/>
      <sheetName val="штатное"/>
      <sheetName val="доли собств.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C36" sqref="C36"/>
    </sheetView>
  </sheetViews>
  <sheetFormatPr defaultColWidth="9.00390625" defaultRowHeight="12.75"/>
  <cols>
    <col min="1" max="1" width="1.12109375" style="2" customWidth="1"/>
    <col min="2" max="2" width="9.75390625" style="2" customWidth="1"/>
    <col min="3" max="3" width="8.625" style="2" customWidth="1"/>
    <col min="4" max="4" width="2.125" style="2" customWidth="1"/>
    <col min="5" max="5" width="7.875" style="2" customWidth="1"/>
    <col min="6" max="10" width="14.125" style="2" customWidth="1"/>
    <col min="11" max="16384" width="9.125" style="2" customWidth="1"/>
  </cols>
  <sheetData>
    <row r="1" spans="1:3" ht="13.5" customHeight="1">
      <c r="A1" s="1"/>
      <c r="B1" s="1"/>
      <c r="C1" s="1"/>
    </row>
    <row r="2" spans="1:8" ht="12.75">
      <c r="A2" s="1"/>
      <c r="B2" s="1"/>
      <c r="C2" s="1"/>
      <c r="H2" s="3" t="s">
        <v>0</v>
      </c>
    </row>
    <row r="3" spans="1:8" ht="19.5" customHeight="1">
      <c r="A3" s="1"/>
      <c r="B3" s="1"/>
      <c r="C3" s="1"/>
      <c r="H3" s="3" t="s">
        <v>1</v>
      </c>
    </row>
    <row r="4" spans="2:10" ht="12.75"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2:10" ht="32.25" customHeight="1">
      <c r="B5" s="4"/>
      <c r="C5" s="4"/>
      <c r="D5" s="4"/>
      <c r="E5" s="4"/>
      <c r="F5" s="4"/>
      <c r="G5" s="4"/>
      <c r="H5" s="4"/>
      <c r="I5" s="4"/>
      <c r="J5" s="4"/>
    </row>
    <row r="7" ht="18" customHeight="1">
      <c r="C7" s="2" t="s">
        <v>3</v>
      </c>
    </row>
    <row r="8" ht="18" customHeight="1">
      <c r="C8" s="2" t="s">
        <v>4</v>
      </c>
    </row>
    <row r="9" ht="18" customHeight="1">
      <c r="C9" s="2" t="s">
        <v>5</v>
      </c>
    </row>
    <row r="10" ht="18" customHeight="1">
      <c r="C10" s="2" t="s">
        <v>6</v>
      </c>
    </row>
    <row r="11" ht="18" customHeight="1">
      <c r="C11" s="3" t="s">
        <v>7</v>
      </c>
    </row>
    <row r="12" ht="18" customHeight="1">
      <c r="C12" s="2" t="s">
        <v>8</v>
      </c>
    </row>
    <row r="13" ht="18" customHeight="1">
      <c r="C13" s="2" t="s">
        <v>9</v>
      </c>
    </row>
    <row r="14" ht="18" customHeight="1">
      <c r="C14" s="2" t="s">
        <v>10</v>
      </c>
    </row>
    <row r="15" ht="18" customHeight="1">
      <c r="C15" s="2" t="s">
        <v>11</v>
      </c>
    </row>
    <row r="16" ht="18" customHeight="1">
      <c r="C16" s="2" t="s">
        <v>12</v>
      </c>
    </row>
    <row r="17" ht="18" customHeight="1">
      <c r="C17" s="2" t="s">
        <v>13</v>
      </c>
    </row>
    <row r="18" ht="18" customHeight="1">
      <c r="C18" s="2" t="s">
        <v>14</v>
      </c>
    </row>
    <row r="19" ht="24" customHeight="1">
      <c r="E19" s="2" t="s">
        <v>15</v>
      </c>
    </row>
    <row r="20" ht="18" customHeight="1">
      <c r="C20" s="2" t="s">
        <v>16</v>
      </c>
    </row>
    <row r="21" ht="18" customHeight="1">
      <c r="C21" s="2" t="s">
        <v>17</v>
      </c>
    </row>
    <row r="22" ht="18" customHeight="1">
      <c r="C22" s="2" t="s">
        <v>18</v>
      </c>
    </row>
    <row r="23" ht="18" customHeight="1">
      <c r="C23" s="2" t="s">
        <v>19</v>
      </c>
    </row>
    <row r="24" ht="7.5" customHeight="1"/>
    <row r="25" spans="2:10" ht="12.75" hidden="1">
      <c r="B25" s="5" t="s">
        <v>20</v>
      </c>
      <c r="C25" s="5"/>
      <c r="D25" s="5"/>
      <c r="E25" s="5"/>
      <c r="F25" s="5"/>
      <c r="G25" s="5"/>
      <c r="H25" s="5"/>
      <c r="I25" s="5"/>
      <c r="J25" s="5"/>
    </row>
    <row r="26" spans="2:10" ht="40.5" customHeight="1">
      <c r="B26" s="6"/>
      <c r="C26" s="6"/>
      <c r="D26" s="6"/>
      <c r="E26" s="7" t="s">
        <v>21</v>
      </c>
      <c r="F26" s="7" t="s">
        <v>22</v>
      </c>
      <c r="G26" s="7" t="s">
        <v>23</v>
      </c>
      <c r="H26" s="7" t="s">
        <v>24</v>
      </c>
      <c r="I26" s="7" t="s">
        <v>25</v>
      </c>
      <c r="J26" s="7" t="s">
        <v>26</v>
      </c>
    </row>
    <row r="27" spans="2:10" ht="18" customHeight="1">
      <c r="B27" s="8" t="s">
        <v>27</v>
      </c>
      <c r="C27" s="8"/>
      <c r="D27" s="8"/>
      <c r="E27" s="9" t="s">
        <v>28</v>
      </c>
      <c r="F27" s="10" t="s">
        <v>29</v>
      </c>
      <c r="G27" s="10" t="s">
        <v>30</v>
      </c>
      <c r="H27" s="10" t="s">
        <v>31</v>
      </c>
      <c r="I27" s="10" t="s">
        <v>31</v>
      </c>
      <c r="J27" s="11" t="s">
        <v>32</v>
      </c>
    </row>
    <row r="28" spans="2:11" ht="25.5" customHeight="1">
      <c r="B28" s="8" t="s">
        <v>33</v>
      </c>
      <c r="C28" s="8"/>
      <c r="D28" s="8"/>
      <c r="E28" s="9" t="s">
        <v>28</v>
      </c>
      <c r="F28" s="10" t="s">
        <v>34</v>
      </c>
      <c r="G28" s="10" t="s">
        <v>34</v>
      </c>
      <c r="H28" s="10" t="s">
        <v>34</v>
      </c>
      <c r="I28" s="10" t="s">
        <v>35</v>
      </c>
      <c r="J28" s="11" t="s">
        <v>36</v>
      </c>
      <c r="K28" s="12"/>
    </row>
    <row r="29" spans="2:10" ht="18" customHeight="1">
      <c r="B29" s="8" t="s">
        <v>37</v>
      </c>
      <c r="C29" s="8"/>
      <c r="D29" s="8"/>
      <c r="E29" s="9" t="s">
        <v>28</v>
      </c>
      <c r="F29" s="9" t="s">
        <v>38</v>
      </c>
      <c r="G29" s="9" t="s">
        <v>38</v>
      </c>
      <c r="H29" s="9" t="s">
        <v>38</v>
      </c>
      <c r="I29" s="9" t="s">
        <v>38</v>
      </c>
      <c r="J29" s="9" t="s">
        <v>39</v>
      </c>
    </row>
    <row r="30" spans="2:10" ht="18" customHeight="1">
      <c r="B30" s="8" t="s">
        <v>40</v>
      </c>
      <c r="C30" s="8"/>
      <c r="D30" s="8"/>
      <c r="E30" s="9" t="s">
        <v>41</v>
      </c>
      <c r="F30" s="13" t="s">
        <v>42</v>
      </c>
      <c r="G30" s="13" t="s">
        <v>43</v>
      </c>
      <c r="H30" s="13" t="s">
        <v>43</v>
      </c>
      <c r="I30" s="13" t="s">
        <v>43</v>
      </c>
      <c r="J30" s="13" t="s">
        <v>43</v>
      </c>
    </row>
    <row r="31" spans="2:10" ht="18" customHeight="1">
      <c r="B31" s="8" t="s">
        <v>44</v>
      </c>
      <c r="C31" s="8"/>
      <c r="D31" s="8"/>
      <c r="E31" s="9" t="s">
        <v>41</v>
      </c>
      <c r="F31" s="13" t="s">
        <v>45</v>
      </c>
      <c r="G31" s="13" t="s">
        <v>46</v>
      </c>
      <c r="H31" s="13" t="s">
        <v>46</v>
      </c>
      <c r="I31" s="13" t="s">
        <v>46</v>
      </c>
      <c r="J31" s="13" t="s">
        <v>47</v>
      </c>
    </row>
    <row r="32" spans="2:10" ht="18" customHeight="1">
      <c r="B32" s="8" t="s">
        <v>48</v>
      </c>
      <c r="C32" s="8"/>
      <c r="D32" s="8"/>
      <c r="E32" s="9" t="s">
        <v>41</v>
      </c>
      <c r="F32" s="13" t="s">
        <v>49</v>
      </c>
      <c r="G32" s="13" t="s">
        <v>50</v>
      </c>
      <c r="H32" s="13" t="s">
        <v>50</v>
      </c>
      <c r="I32" s="13" t="s">
        <v>50</v>
      </c>
      <c r="J32" s="13" t="s">
        <v>50</v>
      </c>
    </row>
    <row r="33" spans="2:10" ht="18" customHeight="1">
      <c r="B33" s="8" t="s">
        <v>51</v>
      </c>
      <c r="C33" s="8"/>
      <c r="D33" s="8"/>
      <c r="E33" s="9" t="s">
        <v>52</v>
      </c>
      <c r="F33" s="9" t="s">
        <v>53</v>
      </c>
      <c r="G33" s="9" t="s">
        <v>53</v>
      </c>
      <c r="H33" s="9" t="s">
        <v>53</v>
      </c>
      <c r="I33" s="9" t="s">
        <v>54</v>
      </c>
      <c r="J33" s="9" t="s">
        <v>54</v>
      </c>
    </row>
    <row r="34" spans="2:10" ht="18" customHeight="1">
      <c r="B34" s="8" t="s">
        <v>55</v>
      </c>
      <c r="C34" s="8"/>
      <c r="D34" s="8"/>
      <c r="E34" s="9" t="s">
        <v>41</v>
      </c>
      <c r="F34" s="9" t="s">
        <v>56</v>
      </c>
      <c r="G34" s="9" t="s">
        <v>56</v>
      </c>
      <c r="H34" s="9" t="s">
        <v>56</v>
      </c>
      <c r="I34" s="9" t="s">
        <v>57</v>
      </c>
      <c r="J34" s="9" t="s">
        <v>57</v>
      </c>
    </row>
    <row r="35" ht="22.5" customHeight="1">
      <c r="C35" s="2" t="s">
        <v>187</v>
      </c>
    </row>
    <row r="36" ht="9" customHeight="1"/>
    <row r="37" ht="13.5" customHeight="1"/>
    <row r="38" spans="3:9" ht="15" customHeight="1">
      <c r="C38" s="2" t="s">
        <v>58</v>
      </c>
      <c r="H38" s="2" t="s">
        <v>59</v>
      </c>
      <c r="I38" s="2" t="s">
        <v>186</v>
      </c>
    </row>
    <row r="39" ht="15" customHeight="1"/>
    <row r="40" ht="15" customHeight="1">
      <c r="C40" s="2" t="s">
        <v>60</v>
      </c>
    </row>
    <row r="41" spans="3:9" ht="15" customHeight="1">
      <c r="C41" s="2" t="s">
        <v>61</v>
      </c>
      <c r="H41" s="2" t="s">
        <v>62</v>
      </c>
      <c r="I41" s="2" t="s">
        <v>186</v>
      </c>
    </row>
    <row r="42" ht="15" customHeight="1"/>
    <row r="43" ht="15" customHeight="1">
      <c r="C43" s="2" t="s">
        <v>63</v>
      </c>
    </row>
    <row r="44" spans="3:9" ht="15" customHeight="1">
      <c r="C44" s="2" t="s">
        <v>64</v>
      </c>
      <c r="H44" s="2" t="s">
        <v>65</v>
      </c>
      <c r="I44" s="2" t="s">
        <v>186</v>
      </c>
    </row>
    <row r="45" spans="3:9" ht="33.75" customHeight="1">
      <c r="C45" s="14" t="s">
        <v>66</v>
      </c>
      <c r="D45" s="14"/>
      <c r="E45" s="14"/>
      <c r="F45" s="14"/>
      <c r="H45" s="2" t="s">
        <v>67</v>
      </c>
      <c r="I45" s="2" t="s">
        <v>186</v>
      </c>
    </row>
  </sheetData>
  <mergeCells count="12">
    <mergeCell ref="B32:D32"/>
    <mergeCell ref="B33:D33"/>
    <mergeCell ref="B34:D34"/>
    <mergeCell ref="C45:F45"/>
    <mergeCell ref="B28:D28"/>
    <mergeCell ref="B29:D29"/>
    <mergeCell ref="B30:D30"/>
    <mergeCell ref="B31:D31"/>
    <mergeCell ref="B4:J5"/>
    <mergeCell ref="B25:J25"/>
    <mergeCell ref="B26:D26"/>
    <mergeCell ref="B27:D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L67" sqref="L67"/>
    </sheetView>
  </sheetViews>
  <sheetFormatPr defaultColWidth="9.00390625" defaultRowHeight="12.75"/>
  <cols>
    <col min="1" max="1" width="4.125" style="48" customWidth="1"/>
    <col min="2" max="2" width="39.125" style="48" customWidth="1"/>
    <col min="3" max="3" width="10.125" style="48" customWidth="1"/>
    <col min="4" max="4" width="16.25390625" style="48" hidden="1" customWidth="1"/>
    <col min="5" max="5" width="14.125" style="48" customWidth="1"/>
    <col min="6" max="6" width="10.75390625" style="48" hidden="1" customWidth="1"/>
    <col min="7" max="7" width="10.75390625" style="48" customWidth="1"/>
    <col min="8" max="8" width="0.2421875" style="48" customWidth="1"/>
    <col min="9" max="9" width="9.625" style="48" customWidth="1"/>
    <col min="10" max="10" width="9.125" style="50" customWidth="1"/>
    <col min="11" max="11" width="9.25390625" style="51" bestFit="1" customWidth="1"/>
    <col min="12" max="12" width="10.875" style="48" bestFit="1" customWidth="1"/>
    <col min="13" max="15" width="9.125" style="48" customWidth="1"/>
    <col min="16" max="16" width="11.625" style="48" bestFit="1" customWidth="1"/>
    <col min="17" max="16384" width="9.125" style="48" customWidth="1"/>
  </cols>
  <sheetData>
    <row r="1" spans="2:3" ht="15.75">
      <c r="B1" s="49" t="s">
        <v>68</v>
      </c>
      <c r="C1" s="49"/>
    </row>
    <row r="2" spans="2:15" ht="16.5">
      <c r="B2" s="49" t="s">
        <v>58</v>
      </c>
      <c r="C2" s="49"/>
      <c r="D2" s="52"/>
      <c r="E2" s="52"/>
      <c r="I2" s="53" t="s">
        <v>107</v>
      </c>
      <c r="K2" s="54"/>
      <c r="L2" s="54"/>
      <c r="M2" s="54"/>
      <c r="N2" s="54"/>
      <c r="O2" s="54"/>
    </row>
    <row r="3" spans="2:15" ht="15.75">
      <c r="B3" s="55"/>
      <c r="C3" s="49" t="s">
        <v>59</v>
      </c>
      <c r="D3" s="52"/>
      <c r="E3" s="52"/>
      <c r="I3" s="56" t="s">
        <v>69</v>
      </c>
      <c r="K3" s="54"/>
      <c r="L3" s="54"/>
      <c r="M3" s="54"/>
      <c r="N3" s="54"/>
      <c r="O3" s="54"/>
    </row>
    <row r="4" spans="4:15" ht="45.75" customHeight="1">
      <c r="D4" s="52"/>
      <c r="E4" s="52"/>
      <c r="I4" s="57" t="s">
        <v>108</v>
      </c>
      <c r="J4" s="57"/>
      <c r="K4" s="57"/>
      <c r="L4" s="57"/>
      <c r="M4" s="57"/>
      <c r="N4" s="57"/>
      <c r="O4" s="57"/>
    </row>
    <row r="5" spans="12:14" ht="12.75">
      <c r="L5" s="58"/>
      <c r="N5" s="59"/>
    </row>
    <row r="6" spans="1:15" ht="35.25" customHeight="1">
      <c r="A6" s="60" t="s">
        <v>109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27" customHeight="1">
      <c r="A7" s="60" t="s">
        <v>110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5.75" customHeight="1">
      <c r="A8" s="61" t="s">
        <v>111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2:5" ht="6.75" customHeight="1">
      <c r="B9" s="62"/>
      <c r="D9" s="63"/>
      <c r="E9" s="63"/>
    </row>
    <row r="10" spans="1:15" ht="15.75" customHeight="1">
      <c r="A10" s="64" t="s">
        <v>112</v>
      </c>
      <c r="B10" s="65" t="s">
        <v>113</v>
      </c>
      <c r="C10" s="66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7"/>
      <c r="I10" s="68" t="s">
        <v>119</v>
      </c>
      <c r="J10" s="68"/>
      <c r="K10" s="68"/>
      <c r="L10" s="68"/>
      <c r="M10" s="68"/>
      <c r="N10" s="68"/>
      <c r="O10" s="68"/>
    </row>
    <row r="11" spans="1:17" ht="60" customHeight="1">
      <c r="A11" s="64"/>
      <c r="B11" s="69"/>
      <c r="C11" s="66"/>
      <c r="D11" s="66"/>
      <c r="E11" s="66"/>
      <c r="F11" s="66"/>
      <c r="G11" s="66"/>
      <c r="H11" s="67"/>
      <c r="I11" s="70" t="s">
        <v>120</v>
      </c>
      <c r="J11" s="71" t="s">
        <v>121</v>
      </c>
      <c r="K11" s="71" t="s">
        <v>122</v>
      </c>
      <c r="L11" s="71" t="s">
        <v>123</v>
      </c>
      <c r="M11" s="71" t="s">
        <v>124</v>
      </c>
      <c r="N11" s="71" t="s">
        <v>125</v>
      </c>
      <c r="O11" s="72" t="s">
        <v>126</v>
      </c>
      <c r="Q11" s="190"/>
    </row>
    <row r="12" spans="1:17" ht="45.75" customHeight="1">
      <c r="A12" s="64"/>
      <c r="B12" s="69"/>
      <c r="C12" s="66"/>
      <c r="D12" s="66"/>
      <c r="E12" s="66"/>
      <c r="F12" s="66"/>
      <c r="G12" s="66"/>
      <c r="H12" s="67"/>
      <c r="I12" s="73"/>
      <c r="J12" s="71"/>
      <c r="K12" s="71"/>
      <c r="L12" s="71"/>
      <c r="M12" s="71"/>
      <c r="N12" s="71"/>
      <c r="O12" s="72"/>
      <c r="Q12" s="190"/>
    </row>
    <row r="13" spans="1:15" ht="12.75" customHeight="1">
      <c r="A13" s="64"/>
      <c r="B13" s="74"/>
      <c r="C13" s="75" t="s">
        <v>127</v>
      </c>
      <c r="D13" s="76" t="s">
        <v>128</v>
      </c>
      <c r="E13" s="76" t="s">
        <v>128</v>
      </c>
      <c r="F13" s="77" t="s">
        <v>128</v>
      </c>
      <c r="G13" s="77" t="s">
        <v>128</v>
      </c>
      <c r="H13" s="77"/>
      <c r="I13" s="78" t="s">
        <v>129</v>
      </c>
      <c r="J13" s="78"/>
      <c r="K13" s="78"/>
      <c r="L13" s="78"/>
      <c r="M13" s="78"/>
      <c r="N13" s="78"/>
      <c r="O13" s="78"/>
    </row>
    <row r="14" spans="1:15" s="82" customFormat="1" ht="3" customHeight="1">
      <c r="A14" s="79"/>
      <c r="B14" s="79"/>
      <c r="C14" s="79"/>
      <c r="D14" s="79"/>
      <c r="E14" s="79"/>
      <c r="F14" s="79"/>
      <c r="G14" s="79"/>
      <c r="H14" s="79"/>
      <c r="I14" s="80"/>
      <c r="J14" s="81"/>
      <c r="K14" s="81"/>
      <c r="L14" s="80"/>
      <c r="M14" s="81"/>
      <c r="N14" s="79"/>
      <c r="O14" s="81"/>
    </row>
    <row r="15" spans="1:15" s="89" customFormat="1" ht="30" customHeight="1">
      <c r="A15" s="83" t="s">
        <v>130</v>
      </c>
      <c r="B15" s="84" t="s">
        <v>131</v>
      </c>
      <c r="C15" s="85">
        <v>21413.1</v>
      </c>
      <c r="D15" s="85">
        <f>SUM(D17+D23+D29+D30+D31+D37+D43+D49+D55+D56+D57+D58+D59+D60+D61+D62+D63+D64)</f>
        <v>4759475.414082324</v>
      </c>
      <c r="E15" s="86">
        <f>SUM(E17+E23+E29+E30+E31+E37+E43+E49+E55+E56+E57+E58+E59+E60+E61+E62+E63+E64)</f>
        <v>396622.95117352705</v>
      </c>
      <c r="F15" s="87">
        <f>D15/C15/12</f>
        <v>18.52244425951997</v>
      </c>
      <c r="G15" s="87">
        <f>F15*1.05</f>
        <v>19.44856647249597</v>
      </c>
      <c r="H15" s="87"/>
      <c r="I15" s="88">
        <f aca="true" t="shared" si="0" ref="I15:O15">SUM(I17:I61)</f>
        <v>16.375432796365985</v>
      </c>
      <c r="J15" s="88">
        <f t="shared" si="0"/>
        <v>16.375432796365985</v>
      </c>
      <c r="K15" s="88">
        <f t="shared" si="0"/>
        <v>16.375432796365985</v>
      </c>
      <c r="L15" s="88">
        <f t="shared" si="0"/>
        <v>18.9616142636524</v>
      </c>
      <c r="M15" s="88">
        <f t="shared" si="0"/>
        <v>16.375432796365985</v>
      </c>
      <c r="N15" s="88">
        <f t="shared" si="0"/>
        <v>29.223662682905953</v>
      </c>
      <c r="O15" s="88">
        <f t="shared" si="0"/>
        <v>23.594319652795004</v>
      </c>
    </row>
    <row r="16" spans="1:15" ht="9.75" customHeight="1">
      <c r="A16" s="90"/>
      <c r="B16" s="91" t="s">
        <v>132</v>
      </c>
      <c r="C16" s="92"/>
      <c r="D16" s="93"/>
      <c r="E16" s="93"/>
      <c r="F16" s="94"/>
      <c r="G16" s="94"/>
      <c r="H16" s="95"/>
      <c r="I16" s="96"/>
      <c r="J16" s="97"/>
      <c r="K16" s="95"/>
      <c r="L16" s="96"/>
      <c r="M16" s="97"/>
      <c r="N16" s="95"/>
      <c r="O16" s="97"/>
    </row>
    <row r="17" spans="1:15" s="104" customFormat="1" ht="23.25" customHeight="1">
      <c r="A17" s="98" t="s">
        <v>133</v>
      </c>
      <c r="B17" s="99" t="s">
        <v>134</v>
      </c>
      <c r="C17" s="100">
        <v>21413.1</v>
      </c>
      <c r="D17" s="100">
        <f>SUM(D19:D22)</f>
        <v>1026718.8</v>
      </c>
      <c r="E17" s="101">
        <f>D17/12</f>
        <v>85559.90000000001</v>
      </c>
      <c r="F17" s="102">
        <f>D17/C17/12</f>
        <v>3.9956802144481656</v>
      </c>
      <c r="G17" s="102">
        <f>F17*1.05</f>
        <v>4.195464225170574</v>
      </c>
      <c r="H17" s="102"/>
      <c r="I17" s="103">
        <f>G17</f>
        <v>4.195464225170574</v>
      </c>
      <c r="J17" s="103">
        <f aca="true" t="shared" si="1" ref="J17:O17">I17</f>
        <v>4.195464225170574</v>
      </c>
      <c r="K17" s="103">
        <f t="shared" si="1"/>
        <v>4.195464225170574</v>
      </c>
      <c r="L17" s="103">
        <f t="shared" si="1"/>
        <v>4.195464225170574</v>
      </c>
      <c r="M17" s="103">
        <f t="shared" si="1"/>
        <v>4.195464225170574</v>
      </c>
      <c r="N17" s="103">
        <f t="shared" si="1"/>
        <v>4.195464225170574</v>
      </c>
      <c r="O17" s="103">
        <f t="shared" si="1"/>
        <v>4.195464225170574</v>
      </c>
    </row>
    <row r="18" spans="1:15" ht="12.75" customHeight="1" hidden="1">
      <c r="A18" s="105"/>
      <c r="B18" s="106" t="s">
        <v>135</v>
      </c>
      <c r="C18" s="92"/>
      <c r="D18" s="93"/>
      <c r="E18" s="93">
        <f aca="true" t="shared" si="2" ref="E18:E64">D18/12</f>
        <v>0</v>
      </c>
      <c r="F18" s="95"/>
      <c r="G18" s="95"/>
      <c r="H18" s="95"/>
      <c r="I18" s="107"/>
      <c r="J18" s="108"/>
      <c r="K18" s="109"/>
      <c r="L18" s="107"/>
      <c r="M18" s="108"/>
      <c r="N18" s="109"/>
      <c r="O18" s="108"/>
    </row>
    <row r="19" spans="1:15" ht="15">
      <c r="A19" s="105"/>
      <c r="B19" s="110" t="s">
        <v>136</v>
      </c>
      <c r="C19" s="92"/>
      <c r="D19" s="111">
        <f>61985*12</f>
        <v>743820</v>
      </c>
      <c r="E19" s="93">
        <f t="shared" si="2"/>
        <v>61985</v>
      </c>
      <c r="F19" s="112"/>
      <c r="G19" s="95"/>
      <c r="H19" s="95"/>
      <c r="I19" s="107"/>
      <c r="J19" s="108"/>
      <c r="K19" s="109"/>
      <c r="L19" s="107"/>
      <c r="M19" s="108"/>
      <c r="N19" s="109"/>
      <c r="O19" s="108"/>
    </row>
    <row r="20" spans="1:15" ht="15">
      <c r="A20" s="105"/>
      <c r="B20" s="110" t="s">
        <v>137</v>
      </c>
      <c r="C20" s="92"/>
      <c r="D20" s="111">
        <f>0.34*D19</f>
        <v>252898.80000000002</v>
      </c>
      <c r="E20" s="93">
        <f t="shared" si="2"/>
        <v>21074.9</v>
      </c>
      <c r="F20" s="112"/>
      <c r="G20" s="95"/>
      <c r="H20" s="95"/>
      <c r="I20" s="107"/>
      <c r="J20" s="108"/>
      <c r="K20" s="109"/>
      <c r="L20" s="107"/>
      <c r="M20" s="108"/>
      <c r="N20" s="109"/>
      <c r="O20" s="108"/>
    </row>
    <row r="21" spans="1:15" ht="15">
      <c r="A21" s="105"/>
      <c r="B21" s="110" t="s">
        <v>138</v>
      </c>
      <c r="C21" s="92"/>
      <c r="D21" s="111">
        <f>2500*12</f>
        <v>30000</v>
      </c>
      <c r="E21" s="93">
        <f t="shared" si="2"/>
        <v>2500</v>
      </c>
      <c r="F21" s="112"/>
      <c r="G21" s="95"/>
      <c r="H21" s="95"/>
      <c r="I21" s="107"/>
      <c r="J21" s="108"/>
      <c r="K21" s="109"/>
      <c r="L21" s="107"/>
      <c r="M21" s="108"/>
      <c r="N21" s="109"/>
      <c r="O21" s="108"/>
    </row>
    <row r="22" spans="1:15" ht="15" hidden="1">
      <c r="A22" s="105"/>
      <c r="B22" s="110" t="s">
        <v>139</v>
      </c>
      <c r="C22" s="92"/>
      <c r="D22" s="111"/>
      <c r="E22" s="111">
        <f t="shared" si="2"/>
        <v>0</v>
      </c>
      <c r="F22" s="112"/>
      <c r="G22" s="95"/>
      <c r="H22" s="95"/>
      <c r="I22" s="113"/>
      <c r="J22" s="108"/>
      <c r="K22" s="109"/>
      <c r="L22" s="107"/>
      <c r="M22" s="108"/>
      <c r="N22" s="109"/>
      <c r="O22" s="108"/>
    </row>
    <row r="23" spans="1:17" s="115" customFormat="1" ht="23.25" customHeight="1">
      <c r="A23" s="105" t="s">
        <v>140</v>
      </c>
      <c r="B23" s="99" t="s">
        <v>141</v>
      </c>
      <c r="C23" s="100">
        <f>3678.9+4482.8</f>
        <v>8161.700000000001</v>
      </c>
      <c r="D23" s="100">
        <f>SUM(D25:D28)</f>
        <v>359732.16000000003</v>
      </c>
      <c r="E23" s="101">
        <f t="shared" si="2"/>
        <v>29977.680000000004</v>
      </c>
      <c r="F23" s="102">
        <f>D23/C23/12</f>
        <v>3.672970092015144</v>
      </c>
      <c r="G23" s="102">
        <f>F23*1.05</f>
        <v>3.8566185966159012</v>
      </c>
      <c r="H23" s="102"/>
      <c r="I23" s="103"/>
      <c r="J23" s="103"/>
      <c r="K23" s="103"/>
      <c r="L23" s="103">
        <f>E23/3/3678.9</f>
        <v>2.7161814672864173</v>
      </c>
      <c r="M23" s="103"/>
      <c r="N23" s="103">
        <f>E23/3*2/4482.8</f>
        <v>4.4581779245114665</v>
      </c>
      <c r="O23" s="103">
        <f>N23</f>
        <v>4.4581779245114665</v>
      </c>
      <c r="P23" s="48"/>
      <c r="Q23" s="114"/>
    </row>
    <row r="24" spans="1:15" ht="12.75" customHeight="1" hidden="1">
      <c r="A24" s="105"/>
      <c r="B24" s="106" t="s">
        <v>135</v>
      </c>
      <c r="C24" s="92"/>
      <c r="D24" s="93"/>
      <c r="E24" s="93">
        <f t="shared" si="2"/>
        <v>0</v>
      </c>
      <c r="F24" s="95"/>
      <c r="G24" s="95"/>
      <c r="H24" s="95"/>
      <c r="I24" s="103"/>
      <c r="J24" s="103"/>
      <c r="K24" s="103"/>
      <c r="L24" s="103"/>
      <c r="M24" s="103"/>
      <c r="N24" s="103"/>
      <c r="O24" s="103"/>
    </row>
    <row r="25" spans="1:15" ht="15">
      <c r="A25" s="105"/>
      <c r="B25" s="106" t="s">
        <v>142</v>
      </c>
      <c r="C25" s="92"/>
      <c r="D25" s="111">
        <f>(7084*3)*12</f>
        <v>255024</v>
      </c>
      <c r="E25" s="93">
        <f t="shared" si="2"/>
        <v>21252</v>
      </c>
      <c r="F25" s="112"/>
      <c r="G25" s="95"/>
      <c r="H25" s="95"/>
      <c r="I25" s="103"/>
      <c r="J25" s="103"/>
      <c r="K25" s="103"/>
      <c r="L25" s="103"/>
      <c r="M25" s="103"/>
      <c r="N25" s="103"/>
      <c r="O25" s="103"/>
    </row>
    <row r="26" spans="1:15" ht="15">
      <c r="A26" s="105"/>
      <c r="B26" s="110" t="s">
        <v>137</v>
      </c>
      <c r="C26" s="92"/>
      <c r="D26" s="111">
        <f>0.34*D25</f>
        <v>86708.16</v>
      </c>
      <c r="E26" s="93">
        <f t="shared" si="2"/>
        <v>7225.68</v>
      </c>
      <c r="F26" s="112"/>
      <c r="G26" s="95"/>
      <c r="H26" s="95"/>
      <c r="I26" s="103"/>
      <c r="J26" s="103"/>
      <c r="K26" s="103"/>
      <c r="L26" s="103"/>
      <c r="M26" s="103"/>
      <c r="N26" s="103"/>
      <c r="O26" s="103"/>
    </row>
    <row r="27" spans="1:15" ht="15">
      <c r="A27" s="105"/>
      <c r="B27" s="106" t="s">
        <v>138</v>
      </c>
      <c r="C27" s="92"/>
      <c r="D27" s="111">
        <f>500*3*12</f>
        <v>18000</v>
      </c>
      <c r="E27" s="93">
        <f t="shared" si="2"/>
        <v>1500</v>
      </c>
      <c r="F27" s="112"/>
      <c r="G27" s="95"/>
      <c r="H27" s="95"/>
      <c r="I27" s="103"/>
      <c r="J27" s="103"/>
      <c r="K27" s="103"/>
      <c r="L27" s="103"/>
      <c r="M27" s="103"/>
      <c r="N27" s="103"/>
      <c r="O27" s="103"/>
    </row>
    <row r="28" spans="1:15" ht="15" hidden="1">
      <c r="A28" s="105"/>
      <c r="B28" s="106" t="s">
        <v>139</v>
      </c>
      <c r="C28" s="92"/>
      <c r="D28" s="111"/>
      <c r="E28" s="111">
        <f t="shared" si="2"/>
        <v>0</v>
      </c>
      <c r="F28" s="112"/>
      <c r="G28" s="95"/>
      <c r="H28" s="95"/>
      <c r="I28" s="103"/>
      <c r="J28" s="103"/>
      <c r="K28" s="103"/>
      <c r="L28" s="103"/>
      <c r="M28" s="103"/>
      <c r="N28" s="103"/>
      <c r="O28" s="103"/>
    </row>
    <row r="29" spans="1:15" s="104" customFormat="1" ht="23.25" customHeight="1">
      <c r="A29" s="98" t="s">
        <v>143</v>
      </c>
      <c r="B29" s="116" t="s">
        <v>144</v>
      </c>
      <c r="C29" s="100">
        <v>21413.1</v>
      </c>
      <c r="D29" s="100">
        <f>15680/1.18</f>
        <v>13288.13559322034</v>
      </c>
      <c r="E29" s="100">
        <f t="shared" si="2"/>
        <v>1107.3446327683616</v>
      </c>
      <c r="F29" s="102">
        <f>D29/C29/12</f>
        <v>0.0517134199517287</v>
      </c>
      <c r="G29" s="102">
        <f>F29*1.05</f>
        <v>0.054299090949315135</v>
      </c>
      <c r="H29" s="102"/>
      <c r="I29" s="103">
        <f>G29</f>
        <v>0.054299090949315135</v>
      </c>
      <c r="J29" s="103">
        <f aca="true" t="shared" si="3" ref="J29:O30">I29</f>
        <v>0.054299090949315135</v>
      </c>
      <c r="K29" s="103">
        <f t="shared" si="3"/>
        <v>0.054299090949315135</v>
      </c>
      <c r="L29" s="103">
        <f t="shared" si="3"/>
        <v>0.054299090949315135</v>
      </c>
      <c r="M29" s="103">
        <f t="shared" si="3"/>
        <v>0.054299090949315135</v>
      </c>
      <c r="N29" s="103">
        <f t="shared" si="3"/>
        <v>0.054299090949315135</v>
      </c>
      <c r="O29" s="103">
        <f t="shared" si="3"/>
        <v>0.054299090949315135</v>
      </c>
    </row>
    <row r="30" spans="1:15" s="104" customFormat="1" ht="23.25" customHeight="1">
      <c r="A30" s="98" t="s">
        <v>145</v>
      </c>
      <c r="B30" s="99" t="s">
        <v>146</v>
      </c>
      <c r="C30" s="100">
        <v>21413.1</v>
      </c>
      <c r="D30" s="100">
        <f>40200*3.38/1.18</f>
        <v>115149.15254237289</v>
      </c>
      <c r="E30" s="101">
        <f t="shared" si="2"/>
        <v>9595.762711864407</v>
      </c>
      <c r="F30" s="102">
        <f>D30/C30/12</f>
        <v>0.4481258067194572</v>
      </c>
      <c r="G30" s="102">
        <f>F30*1.05</f>
        <v>0.47053209705543003</v>
      </c>
      <c r="H30" s="102"/>
      <c r="I30" s="103">
        <f>G30</f>
        <v>0.47053209705543003</v>
      </c>
      <c r="J30" s="103">
        <f t="shared" si="3"/>
        <v>0.47053209705543003</v>
      </c>
      <c r="K30" s="103">
        <f t="shared" si="3"/>
        <v>0.47053209705543003</v>
      </c>
      <c r="L30" s="103">
        <f t="shared" si="3"/>
        <v>0.47053209705543003</v>
      </c>
      <c r="M30" s="103">
        <f t="shared" si="3"/>
        <v>0.47053209705543003</v>
      </c>
      <c r="N30" s="103">
        <f t="shared" si="3"/>
        <v>0.47053209705543003</v>
      </c>
      <c r="O30" s="103">
        <f t="shared" si="3"/>
        <v>0.47053209705543003</v>
      </c>
    </row>
    <row r="31" spans="1:15" s="104" customFormat="1" ht="23.25" customHeight="1">
      <c r="A31" s="98" t="s">
        <v>147</v>
      </c>
      <c r="B31" s="116" t="s">
        <v>148</v>
      </c>
      <c r="C31" s="100">
        <v>4482.8</v>
      </c>
      <c r="D31" s="100">
        <f>SUM(D33:D36)</f>
        <v>148096.8</v>
      </c>
      <c r="E31" s="101">
        <f t="shared" si="2"/>
        <v>12341.4</v>
      </c>
      <c r="F31" s="102">
        <f>D31/C31/12</f>
        <v>2.7530561256357626</v>
      </c>
      <c r="G31" s="102">
        <f>F31*1.05</f>
        <v>2.8907089319175507</v>
      </c>
      <c r="H31" s="102"/>
      <c r="I31" s="103"/>
      <c r="J31" s="103"/>
      <c r="K31" s="103"/>
      <c r="L31" s="103"/>
      <c r="M31" s="103"/>
      <c r="N31" s="103">
        <f>G31</f>
        <v>2.8907089319175507</v>
      </c>
      <c r="O31" s="103">
        <f>N31</f>
        <v>2.8907089319175507</v>
      </c>
    </row>
    <row r="32" spans="1:15" ht="24" customHeight="1" hidden="1">
      <c r="A32" s="98"/>
      <c r="B32" s="106" t="s">
        <v>135</v>
      </c>
      <c r="C32" s="92"/>
      <c r="D32" s="93"/>
      <c r="E32" s="93">
        <f t="shared" si="2"/>
        <v>0</v>
      </c>
      <c r="F32" s="95"/>
      <c r="G32" s="95"/>
      <c r="H32" s="95"/>
      <c r="I32" s="103"/>
      <c r="J32" s="103"/>
      <c r="K32" s="103"/>
      <c r="L32" s="103"/>
      <c r="M32" s="103"/>
      <c r="N32" s="103"/>
      <c r="O32" s="103"/>
    </row>
    <row r="33" spans="1:15" ht="15" customHeight="1">
      <c r="A33" s="98"/>
      <c r="B33" s="110" t="s">
        <v>149</v>
      </c>
      <c r="C33" s="92"/>
      <c r="D33" s="111">
        <f>9210*12</f>
        <v>110520</v>
      </c>
      <c r="E33" s="93">
        <f t="shared" si="2"/>
        <v>9210</v>
      </c>
      <c r="F33" s="95"/>
      <c r="G33" s="95"/>
      <c r="H33" s="95"/>
      <c r="I33" s="103"/>
      <c r="J33" s="103"/>
      <c r="K33" s="103"/>
      <c r="L33" s="103"/>
      <c r="M33" s="103"/>
      <c r="N33" s="103"/>
      <c r="O33" s="103"/>
    </row>
    <row r="34" spans="1:15" ht="15">
      <c r="A34" s="98"/>
      <c r="B34" s="110" t="s">
        <v>137</v>
      </c>
      <c r="C34" s="92"/>
      <c r="D34" s="111">
        <f>0.34*D33</f>
        <v>37576.8</v>
      </c>
      <c r="E34" s="93">
        <f t="shared" si="2"/>
        <v>3131.4</v>
      </c>
      <c r="F34" s="95"/>
      <c r="G34" s="95"/>
      <c r="H34" s="95"/>
      <c r="I34" s="103"/>
      <c r="J34" s="103"/>
      <c r="K34" s="103"/>
      <c r="L34" s="103"/>
      <c r="M34" s="103"/>
      <c r="N34" s="103"/>
      <c r="O34" s="103"/>
    </row>
    <row r="35" spans="1:15" ht="15" hidden="1">
      <c r="A35" s="98"/>
      <c r="B35" s="110" t="s">
        <v>138</v>
      </c>
      <c r="C35" s="92"/>
      <c r="D35" s="111"/>
      <c r="E35" s="111">
        <f t="shared" si="2"/>
        <v>0</v>
      </c>
      <c r="F35" s="95"/>
      <c r="G35" s="95"/>
      <c r="H35" s="95"/>
      <c r="I35" s="103"/>
      <c r="J35" s="103"/>
      <c r="K35" s="103"/>
      <c r="L35" s="103"/>
      <c r="M35" s="103"/>
      <c r="N35" s="103"/>
      <c r="O35" s="103"/>
    </row>
    <row r="36" spans="1:15" ht="15" hidden="1">
      <c r="A36" s="98"/>
      <c r="B36" s="110" t="s">
        <v>139</v>
      </c>
      <c r="C36" s="92"/>
      <c r="D36" s="111"/>
      <c r="E36" s="111">
        <f t="shared" si="2"/>
        <v>0</v>
      </c>
      <c r="F36" s="95"/>
      <c r="G36" s="95"/>
      <c r="H36" s="95"/>
      <c r="I36" s="103"/>
      <c r="J36" s="103"/>
      <c r="K36" s="103"/>
      <c r="L36" s="103"/>
      <c r="M36" s="103"/>
      <c r="N36" s="103"/>
      <c r="O36" s="103"/>
    </row>
    <row r="37" spans="1:15" s="104" customFormat="1" ht="24" customHeight="1">
      <c r="A37" s="98" t="s">
        <v>150</v>
      </c>
      <c r="B37" s="116" t="s">
        <v>151</v>
      </c>
      <c r="C37" s="100">
        <f>4482.8-4482.8/9</f>
        <v>3984.711111111111</v>
      </c>
      <c r="D37" s="100">
        <f>SUM(D39:D42)</f>
        <v>256357.77966101695</v>
      </c>
      <c r="E37" s="101">
        <f t="shared" si="2"/>
        <v>21363.148305084746</v>
      </c>
      <c r="F37" s="102">
        <f>D37/C37/12</f>
        <v>5.36127907629614</v>
      </c>
      <c r="G37" s="102">
        <f>F37*1.05</f>
        <v>5.629343030110947</v>
      </c>
      <c r="H37" s="102"/>
      <c r="I37" s="103"/>
      <c r="J37" s="103"/>
      <c r="K37" s="103"/>
      <c r="L37" s="103"/>
      <c r="M37" s="103"/>
      <c r="N37" s="103">
        <f>G37</f>
        <v>5.629343030110947</v>
      </c>
      <c r="O37" s="103"/>
    </row>
    <row r="38" spans="1:15" ht="12.75" customHeight="1" hidden="1">
      <c r="A38" s="98"/>
      <c r="B38" s="106" t="s">
        <v>135</v>
      </c>
      <c r="C38" s="92"/>
      <c r="D38" s="93"/>
      <c r="E38" s="93">
        <f t="shared" si="2"/>
        <v>0</v>
      </c>
      <c r="F38" s="95"/>
      <c r="G38" s="95"/>
      <c r="H38" s="95"/>
      <c r="I38" s="103"/>
      <c r="J38" s="103"/>
      <c r="K38" s="103"/>
      <c r="L38" s="103"/>
      <c r="M38" s="103"/>
      <c r="N38" s="103"/>
      <c r="O38" s="103"/>
    </row>
    <row r="39" spans="1:15" ht="15" customHeight="1">
      <c r="A39" s="98"/>
      <c r="B39" s="110" t="s">
        <v>152</v>
      </c>
      <c r="C39" s="92"/>
      <c r="D39" s="111">
        <f>8300*1.5*12</f>
        <v>149400</v>
      </c>
      <c r="E39" s="93">
        <f>D39/12</f>
        <v>12450</v>
      </c>
      <c r="F39" s="95"/>
      <c r="G39" s="95"/>
      <c r="H39" s="95"/>
      <c r="I39" s="103"/>
      <c r="J39" s="103"/>
      <c r="K39" s="103"/>
      <c r="L39" s="103"/>
      <c r="M39" s="103"/>
      <c r="N39" s="103"/>
      <c r="O39" s="103"/>
    </row>
    <row r="40" spans="1:15" ht="15">
      <c r="A40" s="98"/>
      <c r="B40" s="110" t="s">
        <v>137</v>
      </c>
      <c r="C40" s="92"/>
      <c r="D40" s="111">
        <f>0.34*D39</f>
        <v>50796.00000000001</v>
      </c>
      <c r="E40" s="93">
        <f t="shared" si="2"/>
        <v>4233.000000000001</v>
      </c>
      <c r="F40" s="95"/>
      <c r="G40" s="95"/>
      <c r="H40" s="95"/>
      <c r="I40" s="103"/>
      <c r="J40" s="103"/>
      <c r="K40" s="103"/>
      <c r="L40" s="103"/>
      <c r="M40" s="103"/>
      <c r="N40" s="103"/>
      <c r="O40" s="103"/>
    </row>
    <row r="41" spans="1:15" ht="15">
      <c r="A41" s="98"/>
      <c r="B41" s="110" t="s">
        <v>153</v>
      </c>
      <c r="C41" s="92"/>
      <c r="D41" s="93">
        <f>25580*2.37/1.18</f>
        <v>51376.77966101695</v>
      </c>
      <c r="E41" s="93">
        <f t="shared" si="2"/>
        <v>4281.398305084746</v>
      </c>
      <c r="F41" s="95"/>
      <c r="G41" s="95">
        <f>E41/C37*1.05</f>
        <v>1.1281792067193175</v>
      </c>
      <c r="H41" s="95"/>
      <c r="I41" s="103"/>
      <c r="J41" s="103"/>
      <c r="K41" s="103"/>
      <c r="L41" s="103"/>
      <c r="M41" s="103"/>
      <c r="N41" s="103"/>
      <c r="O41" s="103"/>
    </row>
    <row r="42" spans="1:15" ht="15">
      <c r="A42" s="98"/>
      <c r="B42" s="110" t="s">
        <v>154</v>
      </c>
      <c r="C42" s="92"/>
      <c r="D42" s="93">
        <f>4350*1.1</f>
        <v>4785</v>
      </c>
      <c r="E42" s="93">
        <f t="shared" si="2"/>
        <v>398.75</v>
      </c>
      <c r="F42" s="95"/>
      <c r="G42" s="95"/>
      <c r="H42" s="95"/>
      <c r="I42" s="103"/>
      <c r="J42" s="103"/>
      <c r="K42" s="103"/>
      <c r="L42" s="103"/>
      <c r="M42" s="103"/>
      <c r="N42" s="103"/>
      <c r="O42" s="103"/>
    </row>
    <row r="43" spans="1:15" s="104" customFormat="1" ht="42.75" customHeight="1">
      <c r="A43" s="98" t="s">
        <v>155</v>
      </c>
      <c r="B43" s="99" t="s">
        <v>156</v>
      </c>
      <c r="C43" s="100">
        <v>21413.1</v>
      </c>
      <c r="D43" s="100">
        <f>SUM(D45:D48)</f>
        <v>1813255.9919999999</v>
      </c>
      <c r="E43" s="101">
        <f t="shared" si="2"/>
        <v>151104.666</v>
      </c>
      <c r="F43" s="102">
        <f>D43/C43/12</f>
        <v>7.056645978396403</v>
      </c>
      <c r="G43" s="102">
        <f>F43*1.05</f>
        <v>7.409478277316223</v>
      </c>
      <c r="H43" s="102"/>
      <c r="I43" s="103">
        <f>G43</f>
        <v>7.409478277316223</v>
      </c>
      <c r="J43" s="103">
        <f aca="true" t="shared" si="4" ref="J43:O43">I43</f>
        <v>7.409478277316223</v>
      </c>
      <c r="K43" s="103">
        <f t="shared" si="4"/>
        <v>7.409478277316223</v>
      </c>
      <c r="L43" s="103">
        <f t="shared" si="4"/>
        <v>7.409478277316223</v>
      </c>
      <c r="M43" s="103">
        <f t="shared" si="4"/>
        <v>7.409478277316223</v>
      </c>
      <c r="N43" s="103">
        <f t="shared" si="4"/>
        <v>7.409478277316223</v>
      </c>
      <c r="O43" s="103">
        <f t="shared" si="4"/>
        <v>7.409478277316223</v>
      </c>
    </row>
    <row r="44" spans="1:15" ht="12.75" customHeight="1" hidden="1">
      <c r="A44" s="105"/>
      <c r="B44" s="106" t="s">
        <v>135</v>
      </c>
      <c r="C44" s="92"/>
      <c r="D44" s="93"/>
      <c r="E44" s="93">
        <f t="shared" si="2"/>
        <v>0</v>
      </c>
      <c r="F44" s="95"/>
      <c r="G44" s="95"/>
      <c r="H44" s="95"/>
      <c r="I44" s="103"/>
      <c r="J44" s="103"/>
      <c r="K44" s="103"/>
      <c r="L44" s="103"/>
      <c r="M44" s="103"/>
      <c r="N44" s="103"/>
      <c r="O44" s="103"/>
    </row>
    <row r="45" spans="1:15" ht="15">
      <c r="A45" s="105"/>
      <c r="B45" s="110" t="s">
        <v>157</v>
      </c>
      <c r="C45" s="92"/>
      <c r="D45" s="111">
        <f>(27949.6+7343.9+29375.6+14687.8+15778)*12</f>
        <v>1141618.7999999998</v>
      </c>
      <c r="E45" s="93">
        <f t="shared" si="2"/>
        <v>95134.89999999998</v>
      </c>
      <c r="F45" s="95"/>
      <c r="G45" s="95"/>
      <c r="H45" s="95"/>
      <c r="I45" s="103"/>
      <c r="J45" s="103"/>
      <c r="K45" s="103"/>
      <c r="L45" s="103"/>
      <c r="M45" s="103"/>
      <c r="N45" s="103"/>
      <c r="O45" s="103"/>
    </row>
    <row r="46" spans="1:15" ht="15">
      <c r="A46" s="105"/>
      <c r="B46" s="110" t="s">
        <v>137</v>
      </c>
      <c r="C46" s="92"/>
      <c r="D46" s="111">
        <f>0.34*D45</f>
        <v>388150.392</v>
      </c>
      <c r="E46" s="93">
        <f t="shared" si="2"/>
        <v>32345.865999999998</v>
      </c>
      <c r="F46" s="95"/>
      <c r="G46" s="95"/>
      <c r="H46" s="95"/>
      <c r="I46" s="103"/>
      <c r="J46" s="103"/>
      <c r="K46" s="103"/>
      <c r="L46" s="103"/>
      <c r="M46" s="103"/>
      <c r="N46" s="103"/>
      <c r="O46" s="103"/>
    </row>
    <row r="47" spans="1:15" ht="15">
      <c r="A47" s="105"/>
      <c r="B47" s="110" t="s">
        <v>138</v>
      </c>
      <c r="C47" s="92"/>
      <c r="D47" s="111">
        <v>120000</v>
      </c>
      <c r="E47" s="93">
        <f t="shared" si="2"/>
        <v>10000</v>
      </c>
      <c r="F47" s="95"/>
      <c r="G47" s="95"/>
      <c r="H47" s="95"/>
      <c r="I47" s="103"/>
      <c r="J47" s="103"/>
      <c r="K47" s="103"/>
      <c r="L47" s="103"/>
      <c r="M47" s="103"/>
      <c r="N47" s="103"/>
      <c r="O47" s="103"/>
    </row>
    <row r="48" spans="1:15" ht="15">
      <c r="A48" s="105"/>
      <c r="B48" s="110" t="s">
        <v>158</v>
      </c>
      <c r="C48" s="92"/>
      <c r="D48" s="111">
        <f>(72584.6-58960.7)*12</f>
        <v>163486.8000000001</v>
      </c>
      <c r="E48" s="93">
        <f t="shared" si="2"/>
        <v>13623.900000000009</v>
      </c>
      <c r="F48" s="95"/>
      <c r="G48" s="95"/>
      <c r="H48" s="95"/>
      <c r="I48" s="103"/>
      <c r="J48" s="103"/>
      <c r="K48" s="103"/>
      <c r="L48" s="103"/>
      <c r="M48" s="103"/>
      <c r="N48" s="103"/>
      <c r="O48" s="103"/>
    </row>
    <row r="49" spans="1:15" s="104" customFormat="1" ht="27" customHeight="1" hidden="1">
      <c r="A49" s="98" t="s">
        <v>159</v>
      </c>
      <c r="B49" s="99" t="s">
        <v>160</v>
      </c>
      <c r="C49" s="100">
        <v>21413.1</v>
      </c>
      <c r="D49" s="100">
        <f>SUM(D51:D54)</f>
        <v>0</v>
      </c>
      <c r="E49" s="100">
        <f t="shared" si="2"/>
        <v>0</v>
      </c>
      <c r="F49" s="102">
        <f>D49/C49/12</f>
        <v>0</v>
      </c>
      <c r="G49" s="102">
        <f>F49*1.05</f>
        <v>0</v>
      </c>
      <c r="H49" s="102"/>
      <c r="I49" s="103">
        <f>G49</f>
        <v>0</v>
      </c>
      <c r="J49" s="103">
        <f aca="true" t="shared" si="5" ref="J49:O49">I49</f>
        <v>0</v>
      </c>
      <c r="K49" s="103">
        <f t="shared" si="5"/>
        <v>0</v>
      </c>
      <c r="L49" s="103">
        <f t="shared" si="5"/>
        <v>0</v>
      </c>
      <c r="M49" s="103">
        <f t="shared" si="5"/>
        <v>0</v>
      </c>
      <c r="N49" s="103">
        <f t="shared" si="5"/>
        <v>0</v>
      </c>
      <c r="O49" s="103">
        <f t="shared" si="5"/>
        <v>0</v>
      </c>
    </row>
    <row r="50" spans="1:15" ht="12.75" customHeight="1" hidden="1">
      <c r="A50" s="105"/>
      <c r="B50" s="106" t="s">
        <v>135</v>
      </c>
      <c r="C50" s="92"/>
      <c r="D50" s="93"/>
      <c r="E50" s="93">
        <f t="shared" si="2"/>
        <v>0</v>
      </c>
      <c r="F50" s="95"/>
      <c r="G50" s="95"/>
      <c r="H50" s="95"/>
      <c r="I50" s="103"/>
      <c r="J50" s="103"/>
      <c r="K50" s="103"/>
      <c r="L50" s="103"/>
      <c r="M50" s="103"/>
      <c r="N50" s="103"/>
      <c r="O50" s="103"/>
    </row>
    <row r="51" spans="1:15" ht="15" hidden="1">
      <c r="A51" s="105"/>
      <c r="B51" s="110" t="s">
        <v>161</v>
      </c>
      <c r="C51" s="92"/>
      <c r="D51" s="93"/>
      <c r="E51" s="93">
        <f t="shared" si="2"/>
        <v>0</v>
      </c>
      <c r="F51" s="95"/>
      <c r="G51" s="95"/>
      <c r="H51" s="95"/>
      <c r="I51" s="103"/>
      <c r="J51" s="103"/>
      <c r="K51" s="103"/>
      <c r="L51" s="103"/>
      <c r="M51" s="103"/>
      <c r="N51" s="103"/>
      <c r="O51" s="103"/>
    </row>
    <row r="52" spans="1:15" ht="15" hidden="1">
      <c r="A52" s="105"/>
      <c r="B52" s="110" t="s">
        <v>162</v>
      </c>
      <c r="C52" s="92"/>
      <c r="D52" s="111">
        <f>0.34*D51</f>
        <v>0</v>
      </c>
      <c r="E52" s="111">
        <f t="shared" si="2"/>
        <v>0</v>
      </c>
      <c r="F52" s="95"/>
      <c r="G52" s="95"/>
      <c r="H52" s="95"/>
      <c r="I52" s="103"/>
      <c r="J52" s="103"/>
      <c r="K52" s="103"/>
      <c r="L52" s="103"/>
      <c r="M52" s="103"/>
      <c r="N52" s="103"/>
      <c r="O52" s="103"/>
    </row>
    <row r="53" spans="1:15" ht="15" hidden="1">
      <c r="A53" s="105"/>
      <c r="B53" s="110" t="s">
        <v>138</v>
      </c>
      <c r="C53" s="92"/>
      <c r="D53" s="93"/>
      <c r="E53" s="93">
        <f t="shared" si="2"/>
        <v>0</v>
      </c>
      <c r="F53" s="95"/>
      <c r="G53" s="95"/>
      <c r="H53" s="95"/>
      <c r="I53" s="103"/>
      <c r="J53" s="103"/>
      <c r="K53" s="103"/>
      <c r="L53" s="103"/>
      <c r="M53" s="103"/>
      <c r="N53" s="103"/>
      <c r="O53" s="103"/>
    </row>
    <row r="54" spans="1:15" ht="15" hidden="1">
      <c r="A54" s="105"/>
      <c r="B54" s="110" t="s">
        <v>139</v>
      </c>
      <c r="C54" s="92"/>
      <c r="D54" s="93"/>
      <c r="E54" s="93">
        <f t="shared" si="2"/>
        <v>0</v>
      </c>
      <c r="F54" s="95"/>
      <c r="G54" s="95"/>
      <c r="H54" s="95"/>
      <c r="I54" s="103"/>
      <c r="J54" s="103"/>
      <c r="K54" s="103"/>
      <c r="L54" s="103"/>
      <c r="M54" s="103"/>
      <c r="N54" s="103"/>
      <c r="O54" s="103"/>
    </row>
    <row r="55" spans="1:15" s="104" customFormat="1" ht="15">
      <c r="A55" s="98" t="s">
        <v>159</v>
      </c>
      <c r="B55" s="116" t="s">
        <v>163</v>
      </c>
      <c r="C55" s="100">
        <f>C65-C23</f>
        <v>13251.399999999998</v>
      </c>
      <c r="D55" s="100">
        <f>0.13/1.05*C55*12</f>
        <v>19687.794285714284</v>
      </c>
      <c r="E55" s="100">
        <f>0.13/1.05*C55</f>
        <v>1640.6495238095235</v>
      </c>
      <c r="F55" s="102">
        <f>E55/C55</f>
        <v>0.12380952380952381</v>
      </c>
      <c r="G55" s="102">
        <f>F55*1.05</f>
        <v>0.13</v>
      </c>
      <c r="H55" s="102"/>
      <c r="I55" s="103">
        <f>G55</f>
        <v>0.13</v>
      </c>
      <c r="J55" s="103">
        <f>I55</f>
        <v>0.13</v>
      </c>
      <c r="K55" s="103">
        <f>J55</f>
        <v>0.13</v>
      </c>
      <c r="L55" s="103"/>
      <c r="M55" s="103">
        <f>G55</f>
        <v>0.13</v>
      </c>
      <c r="N55" s="103"/>
      <c r="O55" s="103"/>
    </row>
    <row r="56" spans="1:15" s="104" customFormat="1" ht="12.75" customHeight="1" hidden="1">
      <c r="A56" s="98" t="s">
        <v>164</v>
      </c>
      <c r="B56" s="116" t="s">
        <v>165</v>
      </c>
      <c r="C56" s="100">
        <v>21413.1</v>
      </c>
      <c r="D56" s="100"/>
      <c r="E56" s="100">
        <f t="shared" si="2"/>
        <v>0</v>
      </c>
      <c r="F56" s="102"/>
      <c r="G56" s="102"/>
      <c r="H56" s="102"/>
      <c r="I56" s="103">
        <f>G56</f>
        <v>0</v>
      </c>
      <c r="J56" s="103">
        <f aca="true" t="shared" si="6" ref="J56:O59">I56</f>
        <v>0</v>
      </c>
      <c r="K56" s="103">
        <f t="shared" si="6"/>
        <v>0</v>
      </c>
      <c r="L56" s="103">
        <f t="shared" si="6"/>
        <v>0</v>
      </c>
      <c r="M56" s="103">
        <f t="shared" si="6"/>
        <v>0</v>
      </c>
      <c r="N56" s="103">
        <f t="shared" si="6"/>
        <v>0</v>
      </c>
      <c r="O56" s="103">
        <f t="shared" si="6"/>
        <v>0</v>
      </c>
    </row>
    <row r="57" spans="1:15" s="104" customFormat="1" ht="15" hidden="1">
      <c r="A57" s="98" t="s">
        <v>166</v>
      </c>
      <c r="B57" s="116" t="s">
        <v>167</v>
      </c>
      <c r="C57" s="100">
        <v>21413.1</v>
      </c>
      <c r="D57" s="100"/>
      <c r="E57" s="100">
        <f t="shared" si="2"/>
        <v>0</v>
      </c>
      <c r="F57" s="102">
        <f>D57/C57/12</f>
        <v>0</v>
      </c>
      <c r="G57" s="102">
        <f aca="true" t="shared" si="7" ref="G57:G63">F57*1.05</f>
        <v>0</v>
      </c>
      <c r="H57" s="102"/>
      <c r="I57" s="103">
        <f>G57</f>
        <v>0</v>
      </c>
      <c r="J57" s="103">
        <f t="shared" si="6"/>
        <v>0</v>
      </c>
      <c r="K57" s="103">
        <f t="shared" si="6"/>
        <v>0</v>
      </c>
      <c r="L57" s="103">
        <f t="shared" si="6"/>
        <v>0</v>
      </c>
      <c r="M57" s="103">
        <f t="shared" si="6"/>
        <v>0</v>
      </c>
      <c r="N57" s="103">
        <f t="shared" si="6"/>
        <v>0</v>
      </c>
      <c r="O57" s="103">
        <f t="shared" si="6"/>
        <v>0</v>
      </c>
    </row>
    <row r="58" spans="1:15" s="104" customFormat="1" ht="15" hidden="1">
      <c r="A58" s="98" t="s">
        <v>168</v>
      </c>
      <c r="B58" s="116" t="s">
        <v>169</v>
      </c>
      <c r="C58" s="100">
        <v>21413.1</v>
      </c>
      <c r="D58" s="100"/>
      <c r="E58" s="100">
        <f t="shared" si="2"/>
        <v>0</v>
      </c>
      <c r="F58" s="102">
        <f>D58/C58/12</f>
        <v>0</v>
      </c>
      <c r="G58" s="102">
        <f t="shared" si="7"/>
        <v>0</v>
      </c>
      <c r="H58" s="102"/>
      <c r="I58" s="103">
        <f>G58</f>
        <v>0</v>
      </c>
      <c r="J58" s="103">
        <f t="shared" si="6"/>
        <v>0</v>
      </c>
      <c r="K58" s="103">
        <f t="shared" si="6"/>
        <v>0</v>
      </c>
      <c r="L58" s="103">
        <f t="shared" si="6"/>
        <v>0</v>
      </c>
      <c r="M58" s="103">
        <f t="shared" si="6"/>
        <v>0</v>
      </c>
      <c r="N58" s="103">
        <f t="shared" si="6"/>
        <v>0</v>
      </c>
      <c r="O58" s="103">
        <f t="shared" si="6"/>
        <v>0</v>
      </c>
    </row>
    <row r="59" spans="1:15" s="104" customFormat="1" ht="28.5">
      <c r="A59" s="98" t="s">
        <v>170</v>
      </c>
      <c r="B59" s="99" t="s">
        <v>171</v>
      </c>
      <c r="C59" s="100">
        <v>21413.1</v>
      </c>
      <c r="D59" s="100">
        <f>403.7*12+5313*3*12*1.34+105000</f>
        <v>366143.52</v>
      </c>
      <c r="E59" s="101">
        <f t="shared" si="2"/>
        <v>30511.960000000003</v>
      </c>
      <c r="F59" s="102">
        <f>D59/C59/12</f>
        <v>1.4249202590937324</v>
      </c>
      <c r="G59" s="102">
        <f t="shared" si="7"/>
        <v>1.496166272048419</v>
      </c>
      <c r="H59" s="102"/>
      <c r="I59" s="103">
        <f>G59</f>
        <v>1.496166272048419</v>
      </c>
      <c r="J59" s="103">
        <f t="shared" si="6"/>
        <v>1.496166272048419</v>
      </c>
      <c r="K59" s="103">
        <f t="shared" si="6"/>
        <v>1.496166272048419</v>
      </c>
      <c r="L59" s="103">
        <f t="shared" si="6"/>
        <v>1.496166272048419</v>
      </c>
      <c r="M59" s="103">
        <f t="shared" si="6"/>
        <v>1.496166272048419</v>
      </c>
      <c r="N59" s="103">
        <f t="shared" si="6"/>
        <v>1.496166272048419</v>
      </c>
      <c r="O59" s="103">
        <f t="shared" si="6"/>
        <v>1.496166272048419</v>
      </c>
    </row>
    <row r="60" spans="1:15" s="104" customFormat="1" ht="15" hidden="1">
      <c r="A60" s="98" t="s">
        <v>172</v>
      </c>
      <c r="B60" s="116" t="s">
        <v>173</v>
      </c>
      <c r="C60" s="100"/>
      <c r="D60" s="100"/>
      <c r="E60" s="101">
        <f t="shared" si="2"/>
        <v>0</v>
      </c>
      <c r="F60" s="102"/>
      <c r="G60" s="102"/>
      <c r="H60" s="102"/>
      <c r="I60" s="103"/>
      <c r="J60" s="103"/>
      <c r="K60" s="103"/>
      <c r="L60" s="103"/>
      <c r="M60" s="103"/>
      <c r="N60" s="103"/>
      <c r="O60" s="103"/>
    </row>
    <row r="61" spans="1:15" s="104" customFormat="1" ht="28.5">
      <c r="A61" s="98" t="s">
        <v>164</v>
      </c>
      <c r="B61" s="99" t="s">
        <v>174</v>
      </c>
      <c r="C61" s="100">
        <v>21413.1</v>
      </c>
      <c r="D61" s="100">
        <f>(24472+15394)*1.34*12</f>
        <v>641045.28</v>
      </c>
      <c r="E61" s="101">
        <f t="shared" si="2"/>
        <v>53420.44</v>
      </c>
      <c r="F61" s="102">
        <f>D61/C61/12</f>
        <v>2.494755079834307</v>
      </c>
      <c r="G61" s="117">
        <f>F61*1.05</f>
        <v>2.6194928338260226</v>
      </c>
      <c r="H61" s="117"/>
      <c r="I61" s="103">
        <f>G61</f>
        <v>2.6194928338260226</v>
      </c>
      <c r="J61" s="103">
        <f aca="true" t="shared" si="8" ref="J61:O61">I61</f>
        <v>2.6194928338260226</v>
      </c>
      <c r="K61" s="103">
        <f t="shared" si="8"/>
        <v>2.6194928338260226</v>
      </c>
      <c r="L61" s="103">
        <f t="shared" si="8"/>
        <v>2.6194928338260226</v>
      </c>
      <c r="M61" s="103">
        <f t="shared" si="8"/>
        <v>2.6194928338260226</v>
      </c>
      <c r="N61" s="103">
        <f t="shared" si="8"/>
        <v>2.6194928338260226</v>
      </c>
      <c r="O61" s="103">
        <f t="shared" si="8"/>
        <v>2.6194928338260226</v>
      </c>
    </row>
    <row r="62" spans="1:15" s="104" customFormat="1" ht="12.75" customHeight="1" hidden="1">
      <c r="A62" s="98" t="s">
        <v>175</v>
      </c>
      <c r="B62" s="118"/>
      <c r="C62" s="119"/>
      <c r="D62" s="119"/>
      <c r="E62" s="100">
        <f t="shared" si="2"/>
        <v>0</v>
      </c>
      <c r="F62" s="120"/>
      <c r="G62" s="120">
        <f t="shared" si="7"/>
        <v>0</v>
      </c>
      <c r="H62" s="120"/>
      <c r="I62" s="121"/>
      <c r="J62" s="122"/>
      <c r="K62" s="97"/>
      <c r="L62" s="121"/>
      <c r="M62" s="122"/>
      <c r="N62" s="120"/>
      <c r="O62" s="122"/>
    </row>
    <row r="63" spans="1:15" s="104" customFormat="1" ht="12.75" customHeight="1" hidden="1">
      <c r="A63" s="98" t="s">
        <v>176</v>
      </c>
      <c r="B63" s="106"/>
      <c r="C63" s="119"/>
      <c r="D63" s="119"/>
      <c r="E63" s="100">
        <f t="shared" si="2"/>
        <v>0</v>
      </c>
      <c r="F63" s="120"/>
      <c r="G63" s="120">
        <f t="shared" si="7"/>
        <v>0</v>
      </c>
      <c r="H63" s="120"/>
      <c r="I63" s="121"/>
      <c r="J63" s="122"/>
      <c r="K63" s="97"/>
      <c r="L63" s="121"/>
      <c r="M63" s="122"/>
      <c r="N63" s="120"/>
      <c r="O63" s="122"/>
    </row>
    <row r="64" spans="1:15" s="104" customFormat="1" ht="12.75" customHeight="1" hidden="1">
      <c r="A64" s="98" t="s">
        <v>177</v>
      </c>
      <c r="B64" s="106" t="s">
        <v>178</v>
      </c>
      <c r="C64" s="119"/>
      <c r="D64" s="119"/>
      <c r="E64" s="100">
        <f t="shared" si="2"/>
        <v>0</v>
      </c>
      <c r="F64" s="120"/>
      <c r="G64" s="120"/>
      <c r="H64" s="120"/>
      <c r="I64" s="121"/>
      <c r="J64" s="122"/>
      <c r="K64" s="97"/>
      <c r="L64" s="121"/>
      <c r="M64" s="122"/>
      <c r="N64" s="120"/>
      <c r="O64" s="122"/>
    </row>
    <row r="65" spans="1:15" s="63" customFormat="1" ht="30" customHeight="1">
      <c r="A65" s="123" t="s">
        <v>179</v>
      </c>
      <c r="B65" s="84" t="s">
        <v>180</v>
      </c>
      <c r="C65" s="124">
        <v>21413.1</v>
      </c>
      <c r="D65" s="124">
        <f>58960.7*12</f>
        <v>707528.3999999999</v>
      </c>
      <c r="E65" s="125">
        <f>58960.7</f>
        <v>58960.7</v>
      </c>
      <c r="F65" s="87">
        <f>D65/C65/12</f>
        <v>2.7534873512009006</v>
      </c>
      <c r="G65" s="87">
        <f>F65</f>
        <v>2.7534873512009006</v>
      </c>
      <c r="H65" s="87"/>
      <c r="I65" s="88">
        <f>G65</f>
        <v>2.7534873512009006</v>
      </c>
      <c r="J65" s="88">
        <f aca="true" t="shared" si="9" ref="J65:O65">I65</f>
        <v>2.7534873512009006</v>
      </c>
      <c r="K65" s="88">
        <f t="shared" si="9"/>
        <v>2.7534873512009006</v>
      </c>
      <c r="L65" s="88">
        <f t="shared" si="9"/>
        <v>2.7534873512009006</v>
      </c>
      <c r="M65" s="88">
        <f t="shared" si="9"/>
        <v>2.7534873512009006</v>
      </c>
      <c r="N65" s="88">
        <f t="shared" si="9"/>
        <v>2.7534873512009006</v>
      </c>
      <c r="O65" s="88">
        <f t="shared" si="9"/>
        <v>2.7534873512009006</v>
      </c>
    </row>
    <row r="66" spans="1:15" s="104" customFormat="1" ht="18" customHeight="1" hidden="1">
      <c r="A66" s="126"/>
      <c r="B66" s="106" t="s">
        <v>181</v>
      </c>
      <c r="C66" s="119"/>
      <c r="D66" s="119"/>
      <c r="E66" s="119"/>
      <c r="F66" s="120" t="e">
        <f>D64/C66/12</f>
        <v>#DIV/0!</v>
      </c>
      <c r="G66" s="120" t="e">
        <f>F66*1.05</f>
        <v>#DIV/0!</v>
      </c>
      <c r="H66" s="120"/>
      <c r="I66" s="121"/>
      <c r="J66" s="122"/>
      <c r="K66" s="97"/>
      <c r="L66" s="121"/>
      <c r="M66" s="122"/>
      <c r="N66" s="120"/>
      <c r="O66" s="122"/>
    </row>
    <row r="67" spans="1:15" s="104" customFormat="1" ht="22.5" customHeight="1">
      <c r="A67" s="126"/>
      <c r="B67" s="127" t="s">
        <v>182</v>
      </c>
      <c r="C67" s="119"/>
      <c r="D67" s="128">
        <f aca="true" t="shared" si="10" ref="D67:O67">D65+D15</f>
        <v>5467003.8140823245</v>
      </c>
      <c r="E67" s="129">
        <f t="shared" si="10"/>
        <v>455583.65117352706</v>
      </c>
      <c r="F67" s="130">
        <f t="shared" si="10"/>
        <v>21.275931610720868</v>
      </c>
      <c r="G67" s="130">
        <f t="shared" si="10"/>
        <v>22.20205382369687</v>
      </c>
      <c r="H67" s="130"/>
      <c r="I67" s="131">
        <f t="shared" si="10"/>
        <v>19.128920147566884</v>
      </c>
      <c r="J67" s="131">
        <f t="shared" si="10"/>
        <v>19.128920147566884</v>
      </c>
      <c r="K67" s="131">
        <f t="shared" si="10"/>
        <v>19.128920147566884</v>
      </c>
      <c r="L67" s="131">
        <f t="shared" si="10"/>
        <v>21.7151016148533</v>
      </c>
      <c r="M67" s="131">
        <f t="shared" si="10"/>
        <v>19.128920147566884</v>
      </c>
      <c r="N67" s="131">
        <f t="shared" si="10"/>
        <v>31.977150034106852</v>
      </c>
      <c r="O67" s="131">
        <f t="shared" si="10"/>
        <v>26.347807003995904</v>
      </c>
    </row>
    <row r="68" spans="1:15" s="104" customFormat="1" ht="22.5" customHeight="1">
      <c r="A68" s="126"/>
      <c r="B68" s="132" t="s">
        <v>183</v>
      </c>
      <c r="C68" s="119"/>
      <c r="D68" s="133">
        <f>D67*0.18</f>
        <v>984060.6865348184</v>
      </c>
      <c r="E68" s="134">
        <f>E67*0.18</f>
        <v>82005.05721123487</v>
      </c>
      <c r="F68" s="135">
        <f>F67*0.18</f>
        <v>3.829667689929756</v>
      </c>
      <c r="G68" s="136">
        <f>G67*0.18</f>
        <v>3.9963696882654363</v>
      </c>
      <c r="H68" s="136"/>
      <c r="I68" s="137">
        <f aca="true" t="shared" si="11" ref="I68:O68">I67*0.18</f>
        <v>3.443205626562039</v>
      </c>
      <c r="J68" s="137">
        <f t="shared" si="11"/>
        <v>3.443205626562039</v>
      </c>
      <c r="K68" s="137">
        <f t="shared" si="11"/>
        <v>3.443205626562039</v>
      </c>
      <c r="L68" s="137">
        <f t="shared" si="11"/>
        <v>3.908718290673594</v>
      </c>
      <c r="M68" s="137">
        <f t="shared" si="11"/>
        <v>3.443205626562039</v>
      </c>
      <c r="N68" s="137">
        <f t="shared" si="11"/>
        <v>5.7558870061392335</v>
      </c>
      <c r="O68" s="137">
        <f t="shared" si="11"/>
        <v>4.742605260719262</v>
      </c>
    </row>
    <row r="69" spans="1:16" s="63" customFormat="1" ht="51" customHeight="1">
      <c r="A69" s="123" t="s">
        <v>184</v>
      </c>
      <c r="B69" s="84" t="s">
        <v>185</v>
      </c>
      <c r="C69" s="124"/>
      <c r="D69" s="138">
        <f aca="true" t="shared" si="12" ref="D69:O69">D65+D15+D68</f>
        <v>6451064.500617143</v>
      </c>
      <c r="E69" s="139">
        <f t="shared" si="12"/>
        <v>537588.7083847619</v>
      </c>
      <c r="F69" s="140">
        <f t="shared" si="12"/>
        <v>25.105599300650624</v>
      </c>
      <c r="G69" s="141">
        <f t="shared" si="12"/>
        <v>26.198423511962304</v>
      </c>
      <c r="H69" s="141"/>
      <c r="I69" s="142">
        <f t="shared" si="12"/>
        <v>22.572125774128924</v>
      </c>
      <c r="J69" s="142">
        <f t="shared" si="12"/>
        <v>22.572125774128924</v>
      </c>
      <c r="K69" s="142">
        <f t="shared" si="12"/>
        <v>22.572125774128924</v>
      </c>
      <c r="L69" s="142">
        <f t="shared" si="12"/>
        <v>25.623819905526894</v>
      </c>
      <c r="M69" s="142">
        <f t="shared" si="12"/>
        <v>22.572125774128924</v>
      </c>
      <c r="N69" s="142">
        <f t="shared" si="12"/>
        <v>37.73303704024609</v>
      </c>
      <c r="O69" s="142">
        <f t="shared" si="12"/>
        <v>31.090412264715166</v>
      </c>
      <c r="P69" s="143"/>
    </row>
    <row r="70" spans="1:15" s="63" customFormat="1" ht="18.75" customHeight="1">
      <c r="A70" s="144"/>
      <c r="B70" s="145"/>
      <c r="C70" s="146"/>
      <c r="D70" s="146"/>
      <c r="E70" s="146"/>
      <c r="F70" s="147"/>
      <c r="G70" s="148"/>
      <c r="H70" s="148"/>
      <c r="I70" s="148"/>
      <c r="J70" s="148"/>
      <c r="K70" s="148"/>
      <c r="L70" s="148"/>
      <c r="M70" s="148"/>
      <c r="N70" s="148"/>
      <c r="O70" s="148"/>
    </row>
    <row r="71" spans="1:15" s="63" customFormat="1" ht="18.75" customHeight="1">
      <c r="A71" s="144"/>
      <c r="B71" s="149"/>
      <c r="C71" s="146"/>
      <c r="D71" s="146"/>
      <c r="E71" s="146"/>
      <c r="F71" s="147"/>
      <c r="G71" s="148"/>
      <c r="H71" s="148"/>
      <c r="I71" s="150"/>
      <c r="J71" s="150"/>
      <c r="K71" s="150"/>
      <c r="L71" s="150"/>
      <c r="M71" s="150"/>
      <c r="N71" s="150"/>
      <c r="O71" s="150"/>
    </row>
    <row r="72" spans="1:15" s="63" customFormat="1" ht="18.75" customHeight="1">
      <c r="A72" s="144"/>
      <c r="B72" s="149"/>
      <c r="C72" s="146"/>
      <c r="D72" s="146"/>
      <c r="E72" s="146"/>
      <c r="F72" s="147"/>
      <c r="G72" s="148"/>
      <c r="H72" s="148"/>
      <c r="I72" s="151"/>
      <c r="J72" s="151"/>
      <c r="K72" s="151"/>
      <c r="L72" s="151"/>
      <c r="M72" s="151"/>
      <c r="N72" s="151"/>
      <c r="O72" s="151"/>
    </row>
    <row r="73" spans="1:15" s="104" customFormat="1" ht="12" customHeight="1">
      <c r="A73" s="144"/>
      <c r="B73" s="149"/>
      <c r="C73" s="146"/>
      <c r="D73" s="146"/>
      <c r="E73" s="146"/>
      <c r="F73" s="153"/>
      <c r="G73" s="154"/>
      <c r="H73" s="154"/>
      <c r="I73" s="154"/>
      <c r="J73" s="155"/>
      <c r="K73" s="152"/>
      <c r="L73" s="154"/>
      <c r="M73" s="155"/>
      <c r="N73" s="153"/>
      <c r="O73" s="155"/>
    </row>
    <row r="74" spans="1:15" ht="15">
      <c r="A74" s="144"/>
      <c r="B74" s="149"/>
      <c r="C74" s="146"/>
      <c r="D74" s="146"/>
      <c r="E74" s="146"/>
      <c r="F74" s="157"/>
      <c r="G74" s="158"/>
      <c r="H74" s="158"/>
      <c r="I74" s="159"/>
      <c r="J74" s="160"/>
      <c r="K74" s="161"/>
      <c r="L74" s="159"/>
      <c r="M74" s="162"/>
      <c r="N74" s="163"/>
      <c r="O74" s="162"/>
    </row>
    <row r="75" spans="1:16" ht="15">
      <c r="A75" s="144"/>
      <c r="B75" s="149"/>
      <c r="C75" s="146"/>
      <c r="D75" s="146"/>
      <c r="E75" s="146"/>
      <c r="F75" s="157"/>
      <c r="G75" s="158"/>
      <c r="H75" s="158"/>
      <c r="I75" s="159"/>
      <c r="J75" s="160"/>
      <c r="K75" s="161"/>
      <c r="L75" s="159"/>
      <c r="M75" s="162"/>
      <c r="N75" s="163"/>
      <c r="O75" s="162"/>
      <c r="P75" s="164"/>
    </row>
    <row r="76" spans="1:15" ht="15">
      <c r="A76" s="144"/>
      <c r="B76" s="149"/>
      <c r="C76" s="146"/>
      <c r="D76" s="146"/>
      <c r="E76" s="146"/>
      <c r="F76" s="157"/>
      <c r="G76" s="158"/>
      <c r="H76" s="158"/>
      <c r="I76" s="159"/>
      <c r="J76" s="160"/>
      <c r="K76" s="161"/>
      <c r="L76" s="159"/>
      <c r="M76" s="162"/>
      <c r="N76" s="163"/>
      <c r="O76" s="162"/>
    </row>
    <row r="77" spans="1:15" s="172" customFormat="1" ht="15">
      <c r="A77" s="144"/>
      <c r="B77" s="149"/>
      <c r="C77" s="146"/>
      <c r="D77" s="146"/>
      <c r="E77" s="146"/>
      <c r="F77" s="165"/>
      <c r="G77" s="158"/>
      <c r="H77" s="158"/>
      <c r="I77" s="166"/>
      <c r="J77" s="167"/>
      <c r="K77" s="168"/>
      <c r="L77" s="166"/>
      <c r="M77" s="169"/>
      <c r="N77" s="170"/>
      <c r="O77" s="171"/>
    </row>
    <row r="78" spans="1:15" ht="15">
      <c r="A78" s="144"/>
      <c r="B78" s="149"/>
      <c r="C78" s="146"/>
      <c r="D78" s="146"/>
      <c r="E78" s="146"/>
      <c r="F78" s="157"/>
      <c r="G78" s="158"/>
      <c r="H78" s="158"/>
      <c r="I78" s="159"/>
      <c r="J78" s="160"/>
      <c r="K78" s="161"/>
      <c r="L78" s="159"/>
      <c r="M78" s="173"/>
      <c r="N78" s="174"/>
      <c r="O78" s="189"/>
    </row>
    <row r="79" spans="1:16" ht="15">
      <c r="A79" s="144"/>
      <c r="B79" s="149"/>
      <c r="C79" s="146"/>
      <c r="D79" s="146"/>
      <c r="E79" s="146"/>
      <c r="F79" s="157"/>
      <c r="G79" s="158"/>
      <c r="H79" s="158"/>
      <c r="I79" s="159"/>
      <c r="J79" s="160"/>
      <c r="K79" s="175"/>
      <c r="L79" s="159"/>
      <c r="M79" s="162"/>
      <c r="N79" s="174"/>
      <c r="O79" s="189"/>
      <c r="P79" s="176"/>
    </row>
    <row r="80" spans="1:16" ht="15">
      <c r="A80" s="144"/>
      <c r="B80" s="149"/>
      <c r="C80" s="146"/>
      <c r="D80" s="146"/>
      <c r="E80" s="146"/>
      <c r="F80" s="157"/>
      <c r="G80" s="158"/>
      <c r="H80" s="158"/>
      <c r="I80" s="159"/>
      <c r="J80" s="160"/>
      <c r="K80" s="161"/>
      <c r="L80" s="159"/>
      <c r="M80" s="162"/>
      <c r="N80" s="163"/>
      <c r="O80" s="189"/>
      <c r="P80" s="176"/>
    </row>
    <row r="81" spans="1:15" ht="15">
      <c r="A81" s="144"/>
      <c r="B81" s="149"/>
      <c r="C81" s="146"/>
      <c r="D81" s="146"/>
      <c r="E81" s="146"/>
      <c r="F81" s="157"/>
      <c r="G81" s="158"/>
      <c r="H81" s="158"/>
      <c r="I81" s="159"/>
      <c r="J81" s="160"/>
      <c r="K81" s="161"/>
      <c r="L81" s="159"/>
      <c r="M81" s="162"/>
      <c r="N81" s="163"/>
      <c r="O81" s="189"/>
    </row>
    <row r="82" spans="1:15" ht="15">
      <c r="A82" s="144"/>
      <c r="B82" s="149"/>
      <c r="C82" s="146"/>
      <c r="D82" s="146"/>
      <c r="E82" s="146"/>
      <c r="F82" s="157"/>
      <c r="G82" s="170"/>
      <c r="H82" s="170"/>
      <c r="I82" s="159"/>
      <c r="J82" s="160"/>
      <c r="K82" s="161"/>
      <c r="L82" s="159"/>
      <c r="M82" s="162"/>
      <c r="N82" s="163"/>
      <c r="O82" s="162"/>
    </row>
    <row r="83" spans="1:15" ht="18" customHeight="1">
      <c r="A83" s="144"/>
      <c r="B83" s="149"/>
      <c r="C83" s="146"/>
      <c r="D83" s="146"/>
      <c r="E83" s="146"/>
      <c r="F83" s="156"/>
      <c r="G83" s="158"/>
      <c r="H83" s="158"/>
      <c r="I83" s="177"/>
      <c r="J83" s="178"/>
      <c r="K83" s="161"/>
      <c r="L83" s="159"/>
      <c r="M83" s="178"/>
      <c r="N83" s="163"/>
      <c r="O83" s="162"/>
    </row>
    <row r="84" spans="1:18" ht="28.5" customHeight="1">
      <c r="A84" s="144"/>
      <c r="B84" s="149"/>
      <c r="C84" s="146"/>
      <c r="D84" s="146"/>
      <c r="E84" s="146"/>
      <c r="F84" s="180"/>
      <c r="G84" s="181"/>
      <c r="H84" s="181"/>
      <c r="J84" s="182"/>
      <c r="K84" s="181"/>
      <c r="M84" s="182"/>
      <c r="P84" s="183"/>
      <c r="Q84" s="183"/>
      <c r="R84" s="184"/>
    </row>
    <row r="85" spans="2:13" ht="19.5" customHeight="1">
      <c r="B85" s="176"/>
      <c r="E85" s="179"/>
      <c r="I85" s="185"/>
      <c r="J85" s="186"/>
      <c r="L85" s="176"/>
      <c r="M85" s="186"/>
    </row>
    <row r="86" spans="2:13" ht="12.75">
      <c r="B86" s="176"/>
      <c r="E86" s="179"/>
      <c r="I86" s="185"/>
      <c r="L86" s="176"/>
      <c r="M86" s="186"/>
    </row>
    <row r="87" spans="2:13" ht="12.75">
      <c r="B87" s="176"/>
      <c r="E87" s="179"/>
      <c r="I87" s="185"/>
      <c r="L87" s="176"/>
      <c r="M87" s="186"/>
    </row>
    <row r="88" spans="2:13" ht="12.75">
      <c r="B88" s="176"/>
      <c r="I88" s="185"/>
      <c r="L88" s="176"/>
      <c r="M88" s="186"/>
    </row>
    <row r="89" spans="2:13" ht="12.75">
      <c r="B89" s="176"/>
      <c r="I89" s="185"/>
      <c r="K89" s="163"/>
      <c r="L89" s="176"/>
      <c r="M89" s="186"/>
    </row>
    <row r="90" spans="2:13" ht="12.75">
      <c r="B90" s="176"/>
      <c r="I90" s="185"/>
      <c r="K90" s="187"/>
      <c r="L90" s="176"/>
      <c r="M90" s="186"/>
    </row>
    <row r="91" ht="12.75">
      <c r="K91" s="188"/>
    </row>
    <row r="92" ht="12.75">
      <c r="B92" s="176"/>
    </row>
    <row r="93" spans="2:17" ht="12.75">
      <c r="B93" s="176"/>
      <c r="Q93" s="183"/>
    </row>
  </sheetData>
  <mergeCells count="21">
    <mergeCell ref="O11:O12"/>
    <mergeCell ref="I13:O13"/>
    <mergeCell ref="F16:G16"/>
    <mergeCell ref="E10:E12"/>
    <mergeCell ref="F10:F12"/>
    <mergeCell ref="G10:G12"/>
    <mergeCell ref="I10:O10"/>
    <mergeCell ref="I11:I12"/>
    <mergeCell ref="J11:J12"/>
    <mergeCell ref="K11:K12"/>
    <mergeCell ref="L11:L12"/>
    <mergeCell ref="M11:M12"/>
    <mergeCell ref="N11:N12"/>
    <mergeCell ref="A10:A13"/>
    <mergeCell ref="B10:B13"/>
    <mergeCell ref="C10:C12"/>
    <mergeCell ref="D10:D12"/>
    <mergeCell ref="I4:O4"/>
    <mergeCell ref="A6:O6"/>
    <mergeCell ref="A7:O7"/>
    <mergeCell ref="A8:O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H40" sqref="H40:I41"/>
    </sheetView>
  </sheetViews>
  <sheetFormatPr defaultColWidth="9.00390625" defaultRowHeight="18" customHeight="1"/>
  <cols>
    <col min="1" max="1" width="3.00390625" style="0" customWidth="1"/>
    <col min="2" max="2" width="8.25390625" style="0" customWidth="1"/>
    <col min="3" max="3" width="27.25390625" style="0" customWidth="1"/>
    <col min="5" max="5" width="14.75390625" style="0" customWidth="1"/>
    <col min="6" max="6" width="14.875" style="0" customWidth="1"/>
    <col min="7" max="7" width="9.625" style="0" customWidth="1"/>
    <col min="8" max="8" width="21.125" style="0" customWidth="1"/>
    <col min="10" max="11" width="11.625" style="0" customWidth="1"/>
    <col min="12" max="12" width="11.75390625" style="0" customWidth="1"/>
  </cols>
  <sheetData>
    <row r="1" spans="1:3" ht="18" customHeight="1">
      <c r="A1" s="2" t="s">
        <v>68</v>
      </c>
      <c r="B1" s="2"/>
      <c r="C1" s="2"/>
    </row>
    <row r="2" spans="1:6" ht="17.25" customHeight="1">
      <c r="A2" s="2" t="s">
        <v>58</v>
      </c>
      <c r="B2" s="2"/>
      <c r="C2" s="2"/>
      <c r="D2" s="15" t="s">
        <v>106</v>
      </c>
      <c r="F2" s="16"/>
    </row>
    <row r="3" spans="1:6" ht="15.75" customHeight="1">
      <c r="A3" s="17"/>
      <c r="B3" s="17"/>
      <c r="C3" s="2" t="s">
        <v>59</v>
      </c>
      <c r="D3" s="18" t="s">
        <v>69</v>
      </c>
      <c r="F3" s="16"/>
    </row>
    <row r="4" spans="2:12" ht="39.75" customHeight="1">
      <c r="B4" s="19"/>
      <c r="C4" s="19"/>
      <c r="D4" s="20" t="s">
        <v>70</v>
      </c>
      <c r="E4" s="20"/>
      <c r="F4" s="20"/>
      <c r="G4" s="20"/>
      <c r="H4" s="21"/>
      <c r="J4" s="45"/>
      <c r="K4" s="45"/>
      <c r="L4" s="40"/>
    </row>
    <row r="5" spans="2:13" ht="48.75" customHeight="1">
      <c r="B5" s="22" t="s">
        <v>71</v>
      </c>
      <c r="J5" s="46"/>
      <c r="K5" s="46"/>
      <c r="L5" s="46"/>
      <c r="M5" s="23"/>
    </row>
    <row r="6" spans="2:12" ht="18" customHeight="1">
      <c r="B6" t="s">
        <v>72</v>
      </c>
      <c r="H6" s="24"/>
      <c r="J6" s="47"/>
      <c r="K6" s="47"/>
      <c r="L6" s="40"/>
    </row>
    <row r="7" spans="3:12" ht="18" customHeight="1">
      <c r="C7" t="s">
        <v>73</v>
      </c>
      <c r="E7" s="25">
        <v>1.19111332808753</v>
      </c>
      <c r="J7" s="47"/>
      <c r="K7" s="47"/>
      <c r="L7" s="40"/>
    </row>
    <row r="8" spans="3:13" ht="18" customHeight="1">
      <c r="C8" t="s">
        <v>23</v>
      </c>
      <c r="E8" s="25">
        <v>2.103951453235131</v>
      </c>
      <c r="J8" s="47"/>
      <c r="K8" s="47"/>
      <c r="L8" s="40"/>
      <c r="M8" s="26"/>
    </row>
    <row r="9" spans="3:13" ht="18" customHeight="1">
      <c r="C9" t="s">
        <v>74</v>
      </c>
      <c r="E9" s="25">
        <v>1.906623488341017</v>
      </c>
      <c r="J9" s="47"/>
      <c r="K9" s="47"/>
      <c r="L9" s="40"/>
      <c r="M9" s="26"/>
    </row>
    <row r="10" spans="2:12" ht="18" customHeight="1">
      <c r="B10" s="19"/>
      <c r="C10" s="19" t="s">
        <v>26</v>
      </c>
      <c r="D10" s="19"/>
      <c r="E10" s="27">
        <v>2.784193250301326</v>
      </c>
      <c r="F10" s="19"/>
      <c r="J10" s="47"/>
      <c r="K10" s="47"/>
      <c r="L10" s="40"/>
    </row>
    <row r="11" spans="10:12" ht="3" customHeight="1">
      <c r="J11" s="40"/>
      <c r="K11" s="40"/>
      <c r="L11" s="40"/>
    </row>
    <row r="12" spans="2:12" ht="18" customHeight="1">
      <c r="B12" s="22" t="s">
        <v>75</v>
      </c>
      <c r="J12" s="40"/>
      <c r="K12" s="40"/>
      <c r="L12" s="40"/>
    </row>
    <row r="13" spans="3:6" ht="18" customHeight="1">
      <c r="C13" t="s">
        <v>76</v>
      </c>
      <c r="E13" s="28">
        <f>11*1.18</f>
        <v>12.979999999999999</v>
      </c>
      <c r="F13" s="29" t="s">
        <v>77</v>
      </c>
    </row>
    <row r="14" spans="2:6" ht="18" customHeight="1">
      <c r="B14" s="19"/>
      <c r="C14" s="19" t="s">
        <v>78</v>
      </c>
      <c r="D14" s="19"/>
      <c r="E14" s="30">
        <f>10.43*1.18</f>
        <v>12.3074</v>
      </c>
      <c r="F14" s="31" t="s">
        <v>77</v>
      </c>
    </row>
    <row r="15" spans="2:6" ht="18" customHeight="1">
      <c r="B15" t="s">
        <v>79</v>
      </c>
      <c r="E15" s="23" t="s">
        <v>40</v>
      </c>
      <c r="F15" s="23" t="s">
        <v>80</v>
      </c>
    </row>
    <row r="16" spans="2:6" ht="12.75" customHeight="1">
      <c r="B16" t="s">
        <v>81</v>
      </c>
      <c r="E16" s="32" t="s">
        <v>82</v>
      </c>
      <c r="F16" s="32" t="s">
        <v>83</v>
      </c>
    </row>
    <row r="17" spans="3:6" ht="18" customHeight="1">
      <c r="C17" t="s">
        <v>73</v>
      </c>
      <c r="E17" s="25">
        <f>1.0654*11*1.18</f>
        <v>13.828891999999998</v>
      </c>
      <c r="F17" s="25">
        <f>(1.0654+1.86485)*10.43*1.18</f>
        <v>36.06375885</v>
      </c>
    </row>
    <row r="18" spans="2:6" ht="27.75" customHeight="1">
      <c r="B18" s="33" t="s">
        <v>84</v>
      </c>
      <c r="C18" s="33"/>
      <c r="D18" s="33"/>
      <c r="E18" s="32" t="s">
        <v>85</v>
      </c>
      <c r="F18" s="32" t="s">
        <v>86</v>
      </c>
    </row>
    <row r="19" spans="3:6" ht="18" customHeight="1">
      <c r="C19" t="s">
        <v>23</v>
      </c>
      <c r="E19" s="25">
        <f>4.2616*11*1.18</f>
        <v>55.31556799999999</v>
      </c>
      <c r="F19" s="25">
        <f>(4.2616+3.32804)*10.43*1.18</f>
        <v>93.40873533599999</v>
      </c>
    </row>
    <row r="20" spans="3:6" ht="18" customHeight="1">
      <c r="C20" t="s">
        <v>74</v>
      </c>
      <c r="E20" s="25">
        <f>4.2616*11*1.18</f>
        <v>55.31556799999999</v>
      </c>
      <c r="F20" s="25">
        <f>(4.2616+3.32804)*10.43*1.18</f>
        <v>93.40873533599999</v>
      </c>
    </row>
    <row r="21" spans="2:6" ht="18" customHeight="1">
      <c r="B21" s="19"/>
      <c r="C21" s="19" t="s">
        <v>26</v>
      </c>
      <c r="D21" s="19"/>
      <c r="E21" s="27">
        <f>4.2616*11*1.18</f>
        <v>55.31556799999999</v>
      </c>
      <c r="F21" s="27">
        <f>(4.2616+3.32804)*10.43*1.18</f>
        <v>93.40873533599999</v>
      </c>
    </row>
    <row r="22" ht="3" customHeight="1"/>
    <row r="23" ht="18" customHeight="1">
      <c r="B23" s="22" t="s">
        <v>87</v>
      </c>
    </row>
    <row r="24" spans="3:6" ht="18" customHeight="1">
      <c r="C24" s="34" t="s">
        <v>88</v>
      </c>
      <c r="E24" s="28">
        <f>90.4</f>
        <v>90.4</v>
      </c>
      <c r="F24" s="29" t="s">
        <v>89</v>
      </c>
    </row>
    <row r="25" spans="2:6" ht="18" customHeight="1">
      <c r="B25" s="19"/>
      <c r="C25" s="35" t="s">
        <v>90</v>
      </c>
      <c r="D25" s="19"/>
      <c r="E25" s="30">
        <v>88.01</v>
      </c>
      <c r="F25" s="31" t="s">
        <v>91</v>
      </c>
    </row>
    <row r="26" spans="2:6" ht="18" customHeight="1">
      <c r="B26" t="s">
        <v>79</v>
      </c>
      <c r="E26" s="23"/>
      <c r="F26" s="23" t="s">
        <v>92</v>
      </c>
    </row>
    <row r="27" spans="2:6" ht="13.5" customHeight="1">
      <c r="B27" t="s">
        <v>81</v>
      </c>
      <c r="E27" s="32" t="s">
        <v>93</v>
      </c>
      <c r="F27" s="23"/>
    </row>
    <row r="28" spans="3:6" ht="18" customHeight="1">
      <c r="C28" t="s">
        <v>73</v>
      </c>
      <c r="E28" s="25">
        <f>1.86485*(0.06*1323.3+11)*1.18</f>
        <v>198.92287815399996</v>
      </c>
      <c r="F28" s="36" t="s">
        <v>94</v>
      </c>
    </row>
    <row r="29" spans="2:6" ht="27.75" customHeight="1">
      <c r="B29" s="33" t="s">
        <v>84</v>
      </c>
      <c r="C29" s="33"/>
      <c r="D29" s="33"/>
      <c r="E29" s="32" t="s">
        <v>95</v>
      </c>
      <c r="F29" s="25"/>
    </row>
    <row r="30" spans="3:6" ht="18" customHeight="1">
      <c r="C30" t="s">
        <v>23</v>
      </c>
      <c r="E30" s="25">
        <f>3.32804*(0.06*1323.3+11)*1.18</f>
        <v>355.0008287056</v>
      </c>
      <c r="F30" s="36" t="s">
        <v>94</v>
      </c>
    </row>
    <row r="31" spans="3:6" ht="18" customHeight="1">
      <c r="C31" t="s">
        <v>74</v>
      </c>
      <c r="E31" s="25">
        <f>3.32804*(0.06*1323.3+11)*1.18</f>
        <v>355.0008287056</v>
      </c>
      <c r="F31" s="36" t="s">
        <v>94</v>
      </c>
    </row>
    <row r="32" spans="2:6" ht="18" customHeight="1">
      <c r="B32" s="19"/>
      <c r="C32" s="19" t="s">
        <v>26</v>
      </c>
      <c r="D32" s="19"/>
      <c r="E32" s="27">
        <f>3.32804*(0.06*1283.5+11)*1.18</f>
        <v>345.622944472</v>
      </c>
      <c r="F32" s="37" t="s">
        <v>96</v>
      </c>
    </row>
    <row r="33" ht="3" customHeight="1"/>
    <row r="34" ht="18" customHeight="1">
      <c r="B34" s="22" t="s">
        <v>97</v>
      </c>
    </row>
    <row r="35" spans="2:6" ht="18" customHeight="1">
      <c r="B35" s="22"/>
      <c r="C35" s="34" t="s">
        <v>98</v>
      </c>
      <c r="E35" s="28">
        <f>1323.3*1.18</f>
        <v>1561.494</v>
      </c>
      <c r="F35" s="29" t="s">
        <v>99</v>
      </c>
    </row>
    <row r="36" spans="2:6" ht="18" customHeight="1">
      <c r="B36" s="38"/>
      <c r="C36" s="35" t="s">
        <v>100</v>
      </c>
      <c r="D36" s="19"/>
      <c r="E36" s="30">
        <f>1283.5*1.18</f>
        <v>1514.53</v>
      </c>
      <c r="F36" s="31" t="s">
        <v>99</v>
      </c>
    </row>
    <row r="37" spans="2:6" ht="18" customHeight="1">
      <c r="B37" s="39" t="s">
        <v>101</v>
      </c>
      <c r="C37" s="39"/>
      <c r="D37" s="40"/>
      <c r="E37" s="41"/>
      <c r="F37" s="42"/>
    </row>
    <row r="38" spans="3:5" ht="18" customHeight="1">
      <c r="C38" t="s">
        <v>73</v>
      </c>
      <c r="E38" s="25">
        <f>0.0162*1323.3*1.18</f>
        <v>25.296202799999996</v>
      </c>
    </row>
    <row r="39" spans="3:5" ht="18" customHeight="1">
      <c r="C39" t="s">
        <v>23</v>
      </c>
      <c r="E39" s="25">
        <f>0.0162*1323.3*1.18</f>
        <v>25.296202799999996</v>
      </c>
    </row>
    <row r="40" spans="3:9" ht="18" customHeight="1">
      <c r="C40" t="s">
        <v>74</v>
      </c>
      <c r="E40" s="25">
        <f>0.0162*1323.3*1.18</f>
        <v>25.296202799999996</v>
      </c>
      <c r="H40" s="43"/>
      <c r="I40" s="44"/>
    </row>
    <row r="41" spans="2:8" ht="18" customHeight="1">
      <c r="B41" s="19"/>
      <c r="C41" s="19" t="s">
        <v>26</v>
      </c>
      <c r="D41" s="19"/>
      <c r="E41" s="27">
        <f>0.0162*1283.5*1.18</f>
        <v>24.535386</v>
      </c>
      <c r="F41" s="19"/>
      <c r="H41" s="43"/>
    </row>
    <row r="42" ht="3" customHeight="1"/>
    <row r="43" ht="49.5" customHeight="1">
      <c r="B43" s="22" t="s">
        <v>102</v>
      </c>
    </row>
    <row r="44" ht="18" customHeight="1">
      <c r="B44" t="s">
        <v>103</v>
      </c>
    </row>
    <row r="45" spans="3:5" ht="18" customHeight="1">
      <c r="C45" t="s">
        <v>73</v>
      </c>
      <c r="E45" s="25">
        <v>3.38</v>
      </c>
    </row>
    <row r="46" spans="3:5" ht="18" customHeight="1">
      <c r="C46" t="s">
        <v>23</v>
      </c>
      <c r="E46" s="25">
        <v>3.38</v>
      </c>
    </row>
    <row r="47" spans="3:5" ht="18" customHeight="1">
      <c r="C47" t="s">
        <v>24</v>
      </c>
      <c r="E47" s="25">
        <v>3.38</v>
      </c>
    </row>
    <row r="48" ht="18" customHeight="1">
      <c r="B48" t="s">
        <v>104</v>
      </c>
    </row>
    <row r="49" spans="3:5" ht="18" customHeight="1">
      <c r="C49" t="s">
        <v>25</v>
      </c>
      <c r="E49" s="25">
        <v>2.37</v>
      </c>
    </row>
    <row r="50" spans="2:6" ht="18" customHeight="1">
      <c r="B50" s="19"/>
      <c r="C50" s="19" t="s">
        <v>26</v>
      </c>
      <c r="D50" s="19"/>
      <c r="E50" s="27">
        <v>2.37</v>
      </c>
      <c r="F50" s="19"/>
    </row>
    <row r="51" ht="3" customHeight="1"/>
    <row r="52" ht="18" customHeight="1">
      <c r="B52" s="22" t="s">
        <v>105</v>
      </c>
    </row>
    <row r="53" spans="3:5" ht="18" customHeight="1">
      <c r="C53" t="s">
        <v>73</v>
      </c>
      <c r="E53" s="25">
        <v>33</v>
      </c>
    </row>
    <row r="54" spans="3:5" ht="18" customHeight="1">
      <c r="C54" t="s">
        <v>23</v>
      </c>
      <c r="E54" s="25">
        <v>33</v>
      </c>
    </row>
    <row r="55" spans="2:6" ht="18" customHeight="1">
      <c r="B55" s="19"/>
      <c r="C55" s="19" t="s">
        <v>24</v>
      </c>
      <c r="D55" s="19"/>
      <c r="E55" s="27">
        <v>33</v>
      </c>
      <c r="F55" s="19"/>
    </row>
  </sheetData>
  <mergeCells count="4">
    <mergeCell ref="D4:G4"/>
    <mergeCell ref="M8:M9"/>
    <mergeCell ref="B18:D18"/>
    <mergeCell ref="B29:D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2012-04-17T04:44:21Z</dcterms:created>
  <dcterms:modified xsi:type="dcterms:W3CDTF">2012-04-17T05:15:13Z</dcterms:modified>
  <cp:category/>
  <cp:version/>
  <cp:contentType/>
  <cp:contentStatus/>
</cp:coreProperties>
</file>